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peter.corley\AppData\Roaming\OpenText\OTEdit\EC_PouMataaho\c11835701\"/>
    </mc:Choice>
  </mc:AlternateContent>
  <xr:revisionPtr revIDLastSave="0" documentId="13_ncr:1_{A6FD2204-8603-410D-968C-A2298E2F1492}" xr6:coauthVersionLast="47" xr6:coauthVersionMax="47" xr10:uidLastSave="{00000000-0000-0000-0000-000000000000}"/>
  <bookViews>
    <workbookView xWindow="-110" yWindow="-110" windowWidth="19420" windowHeight="10420" firstSheet="4" activeTab="7" xr2:uid="{2DD14EA5-2117-46AF-99C3-A5F24B999AF0}"/>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expenses'!$A$1:$E$31</definedName>
    <definedName name="_xlnm.Print_Area" localSheetId="9">'All other expenses - Kaihautu'!$A$1:$E$40</definedName>
    <definedName name="_xlnm.Print_Area" localSheetId="5">'Gifts and benefits'!$A$1:$F$37</definedName>
    <definedName name="_xlnm.Print_Area" localSheetId="10">'Gifts and benefits - Kaihautu'!$A$1:$F$31</definedName>
    <definedName name="_xlnm.Print_Area" localSheetId="0">'Guidance for agencies'!$A$1:$A$58</definedName>
    <definedName name="_xlnm.Print_Area" localSheetId="3">Hospitality!$A$1:$E$29</definedName>
    <definedName name="_xlnm.Print_Area" localSheetId="8">'Hospitality - Kaihautu'!$A$1:$E$33</definedName>
    <definedName name="_xlnm.Print_Area" localSheetId="1">'Summary and sign-off CE'!$A$1:$F$23</definedName>
    <definedName name="_xlnm.Print_Area" localSheetId="6">'Summary and sign-off Kaihautu'!$A$1:$F$23</definedName>
    <definedName name="_xlnm.Print_Area" localSheetId="2">Travel!$A$1:$E$96</definedName>
    <definedName name="_xlnm.Print_Area" localSheetId="7">'Travel - Kaihautu'!$A$1:$E$98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15" l="1"/>
  <c r="B19" i="17" l="1"/>
  <c r="B58" i="15"/>
  <c r="B39" i="15"/>
  <c r="B34" i="15"/>
  <c r="B29" i="15"/>
  <c r="B12" i="2"/>
  <c r="B51" i="1" l="1"/>
  <c r="B63" i="1"/>
  <c r="B41" i="1"/>
  <c r="B64" i="1"/>
  <c r="B63" i="15"/>
  <c r="B67" i="15"/>
  <c r="B81" i="15"/>
  <c r="B57" i="15"/>
  <c r="B80" i="15"/>
  <c r="B56" i="15"/>
  <c r="B55" i="15"/>
  <c r="B54" i="15"/>
  <c r="B52" i="15"/>
  <c r="B51" i="15"/>
  <c r="B50" i="15"/>
  <c r="B49" i="15"/>
  <c r="B38" i="15"/>
  <c r="B76" i="1"/>
  <c r="B54" i="1"/>
  <c r="B56" i="1"/>
  <c r="B42" i="1"/>
  <c r="B26" i="15"/>
  <c r="C22" i="18" l="1"/>
  <c r="F13" i="14" s="1"/>
  <c r="C21" i="18"/>
  <c r="D20" i="18"/>
  <c r="B5" i="18"/>
  <c r="B4" i="18"/>
  <c r="B3" i="18"/>
  <c r="B2" i="18"/>
  <c r="C34" i="17"/>
  <c r="B34" i="17"/>
  <c r="B13" i="14" s="1"/>
  <c r="B5" i="17"/>
  <c r="B4" i="17"/>
  <c r="B3" i="17"/>
  <c r="B2" i="17"/>
  <c r="C26" i="16"/>
  <c r="B26" i="16"/>
  <c r="B12" i="14" s="1"/>
  <c r="B5" i="16"/>
  <c r="B4" i="16"/>
  <c r="B3" i="16"/>
  <c r="B2" i="16"/>
  <c r="C87" i="15"/>
  <c r="B87" i="15"/>
  <c r="B17" i="14" s="1"/>
  <c r="C71" i="15"/>
  <c r="B71" i="15"/>
  <c r="B16" i="14" s="1"/>
  <c r="C18" i="15"/>
  <c r="B18" i="15"/>
  <c r="B15" i="14" s="1"/>
  <c r="B5" i="15"/>
  <c r="B4" i="15"/>
  <c r="B3" i="15"/>
  <c r="B2" i="15"/>
  <c r="E60" i="14"/>
  <c r="C60" i="14"/>
  <c r="B60" i="14"/>
  <c r="D59" i="14"/>
  <c r="B59" i="14"/>
  <c r="D58" i="14"/>
  <c r="B58" i="14"/>
  <c r="D57" i="14"/>
  <c r="B57" i="14"/>
  <c r="D56" i="14"/>
  <c r="B56" i="14"/>
  <c r="D55" i="14"/>
  <c r="B55" i="14"/>
  <c r="C13" i="14"/>
  <c r="C12" i="14"/>
  <c r="C11" i="14"/>
  <c r="C17" i="14" s="1"/>
  <c r="B6" i="14"/>
  <c r="F59" i="14" l="1"/>
  <c r="D34" i="17" s="1"/>
  <c r="F60" i="14"/>
  <c r="E20" i="18" s="1"/>
  <c r="C20" i="18"/>
  <c r="F11" i="14" s="1"/>
  <c r="F58" i="14"/>
  <c r="D26" i="16" s="1"/>
  <c r="F12" i="14"/>
  <c r="F57" i="14"/>
  <c r="D87" i="15" s="1"/>
  <c r="B89" i="15"/>
  <c r="B11" i="14"/>
  <c r="F56" i="14"/>
  <c r="D71" i="15" s="1"/>
  <c r="F55" i="14"/>
  <c r="D18" i="15" s="1"/>
  <c r="C16" i="14"/>
  <c r="C15" i="14"/>
  <c r="D26" i="4"/>
  <c r="C25" i="3"/>
  <c r="C22" i="2"/>
  <c r="C68" i="1"/>
  <c r="C85" i="1"/>
  <c r="C22" i="1"/>
  <c r="B6" i="13" l="1"/>
  <c r="E60" i="13"/>
  <c r="C60" i="13"/>
  <c r="C28" i="4"/>
  <c r="C27" i="4"/>
  <c r="B60" i="13" l="1"/>
  <c r="B59" i="13"/>
  <c r="D59" i="13"/>
  <c r="B58" i="13"/>
  <c r="D58" i="13"/>
  <c r="D57" i="13"/>
  <c r="B57" i="13"/>
  <c r="D56" i="13"/>
  <c r="B56" i="13"/>
  <c r="D55" i="13"/>
  <c r="B55" i="13"/>
  <c r="B2" i="4"/>
  <c r="B3" i="4"/>
  <c r="B2" i="3"/>
  <c r="B3" i="3"/>
  <c r="B2" i="2"/>
  <c r="B3" i="2"/>
  <c r="B2" i="1"/>
  <c r="B3" i="1"/>
  <c r="F58" i="13" l="1"/>
  <c r="D22" i="2" s="1"/>
  <c r="F60" i="13"/>
  <c r="E26" i="4" s="1"/>
  <c r="F59" i="13"/>
  <c r="D25" i="3" s="1"/>
  <c r="F57" i="13"/>
  <c r="D85" i="1" s="1"/>
  <c r="F56" i="13"/>
  <c r="D68" i="1" s="1"/>
  <c r="F55" i="13"/>
  <c r="D22" i="1" s="1"/>
  <c r="C13" i="13"/>
  <c r="C12" i="13"/>
  <c r="C11" i="13"/>
  <c r="C16" i="13" l="1"/>
  <c r="C17" i="13"/>
  <c r="B5" i="4" l="1"/>
  <c r="B4" i="4"/>
  <c r="B5" i="3"/>
  <c r="B4" i="3"/>
  <c r="B5" i="2"/>
  <c r="B4" i="2"/>
  <c r="B5" i="1"/>
  <c r="B4" i="1"/>
  <c r="C15" i="13" l="1"/>
  <c r="F12" i="13" l="1"/>
  <c r="C26" i="4"/>
  <c r="F11" i="13" s="1"/>
  <c r="F13" i="13" l="1"/>
  <c r="B85" i="1"/>
  <c r="B17" i="13" s="1"/>
  <c r="B68" i="1"/>
  <c r="B16" i="13" s="1"/>
  <c r="B22" i="1"/>
  <c r="B15" i="13" s="1"/>
  <c r="B25" i="3" l="1"/>
  <c r="B13" i="13" s="1"/>
  <c r="B22" i="2"/>
  <c r="B12" i="13" s="1"/>
  <c r="B11" i="13" l="1"/>
  <c r="B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7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700-000002000000}">
      <text>
        <r>
          <rPr>
            <sz val="9"/>
            <color indexed="81"/>
            <rFont val="Tahoma"/>
            <family val="2"/>
          </rPr>
          <t xml:space="preserve">
Insert additional rows as needed:
- 'right click' on a row number (left of screen)
- select 'Insert' (this will insert a row above it)
</t>
        </r>
      </text>
    </comment>
    <comment ref="A74" authorId="0" shapeId="0" xr:uid="{00000000-0006-0000-07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8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9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A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<sst xmlns="http://schemas.openxmlformats.org/spreadsheetml/2006/main" count="834" uniqueCount="271">
  <si>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</si>
  <si>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</si>
  <si>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</si>
  <si>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</si>
  <si>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</si>
  <si>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</si>
  <si>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</si>
  <si>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</si>
  <si>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</si>
  <si>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</si>
  <si>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</si>
  <si>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</si>
  <si>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</si>
  <si>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</si>
  <si>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</si>
  <si>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</si>
  <si>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</si>
  <si>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</si>
  <si>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</si>
  <si>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</si>
  <si>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</si>
  <si>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</si>
  <si>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</si>
  <si>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</si>
  <si>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</si>
  <si>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</si>
  <si>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</si>
  <si>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</si>
  <si>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</si>
  <si>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</si>
  <si>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</si>
  <si>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</si>
  <si>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</si>
  <si>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</si>
  <si>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</si>
  <si>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</si>
  <si>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</si>
  <si>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</si>
  <si>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</si>
  <si>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</si>
  <si>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</si>
  <si>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</si>
  <si>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</si>
  <si>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</si>
  <si>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</si>
  <si>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</si>
  <si>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</si>
  <si>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</si>
  <si>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</si>
  <si>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</si>
  <si>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</si>
  <si>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</si>
  <si>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</si>
  <si>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</si>
  <si>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</si>
  <si>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</si>
  <si>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</si>
  <si>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</si>
  <si>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</si>
  <si>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</si>
  <si>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</si>
  <si>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</si>
  <si>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</si>
  <si>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</si>
  <si>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</si>
  <si>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</si>
  <si>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</si>
  <si>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</si>
  <si>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</si>
  <si>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</si>
  <si>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</si>
  <si>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</si>
  <si>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</si>
  <si>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</si>
  <si>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</si>
  <si>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</si>
  <si>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</si>
  <si>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</si>
  <si>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</si>
  <si>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</si>
  <si>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</si>
  <si>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</si>
  <si>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</si>
  <si>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</si>
  <si>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</si>
  <si>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</si>
  <si>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</si>
  <si>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</si>
  <si>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</si>
  <si>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</si>
  <si>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</si>
  <si>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</si>
  <si>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</si>
  <si>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</si>
  <si>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</si>
  <si>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</si>
  <si>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</si>
  <si>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</si>
  <si>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</si>
  <si>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</si>
  <si>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</si>
  <si>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</si>
  <si>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</si>
  <si>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</si>
  <si>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</si>
  <si>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</si>
  <si>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</si>
  <si>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</si>
  <si>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</si>
  <si>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</si>
  <si>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</si>
  <si>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</si>
  <si>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</si>
  <si>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</si>
  <si>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</si>
  <si>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</si>
  <si>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</si>
  <si>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</si>
  <si>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</si>
  <si>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</si>
  <si>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</si>
  <si>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</si>
  <si>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</si>
  <si>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</si>
  <si>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</si>
  <si>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</si>
  <si>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</si>
  <si>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</si>
  <si>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</si>
  <si>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</si>
  <si>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</si>
  <si>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</si>
  <si>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</si>
  <si>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</si>
  <si>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</si>
  <si>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</si>
  <si>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</si>
  <si>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</si>
  <si>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</si>
  <si>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</si>
  <si>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</si>
  <si>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</si>
  <si>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</si>
  <si>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</si>
  <si>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</si>
  <si>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</si>
  <si>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</si>
  <si>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</si>
  <si>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</si>
  <si>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</si>
  <si>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</si>
  <si>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</si>
  <si>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</si>
  <si>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</si>
  <si>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</si>
  <si>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</si>
  <si>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</si>
  <si>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</si>
  <si>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</si>
  <si>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</si>
  <si>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</si>
  <si>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</si>
  <si>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</si>
  <si>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</si>
  <si>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</si>
  <si>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</si>
  <si>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</si>
  <si>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</si>
  <si>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</si>
  <si>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</si>
  <si>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</si>
  <si>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Taxi</t>
  </si>
  <si>
    <t>Wellington</t>
  </si>
  <si>
    <t>Gisborne</t>
  </si>
  <si>
    <t>Auckland</t>
  </si>
  <si>
    <t>Travel to local meeting</t>
  </si>
  <si>
    <t>Kaihautu**</t>
  </si>
  <si>
    <t>Arapata Hakiwai</t>
  </si>
  <si>
    <t>This disclosure has been approved by the Chair of the Te Papa Board</t>
  </si>
  <si>
    <t>Flights</t>
  </si>
  <si>
    <t>Accommodation</t>
  </si>
  <si>
    <t>Car Hire</t>
  </si>
  <si>
    <t>Refreshment for 2</t>
  </si>
  <si>
    <t>Turkish Embassy</t>
  </si>
  <si>
    <t>Attending Board meeting in Dunedin</t>
  </si>
  <si>
    <t>Dunedin</t>
  </si>
  <si>
    <t>To attend CAMD AGM in Auckland</t>
  </si>
  <si>
    <t>Christchurch</t>
  </si>
  <si>
    <t>To attend Robin White opening at the Dunedin Public Art Gallery</t>
  </si>
  <si>
    <t>Directors catch-up</t>
  </si>
  <si>
    <t>New Plymouth</t>
  </si>
  <si>
    <t xml:space="preserve">To visit Okains Bay Museum </t>
  </si>
  <si>
    <t xml:space="preserve">To visit Govett-Brewster Art Gallery </t>
  </si>
  <si>
    <t>Misc.</t>
  </si>
  <si>
    <t>Attending Te Papa Board Meeting in Dunedin</t>
  </si>
  <si>
    <t xml:space="preserve">To attend Potunui Pataka book launch </t>
  </si>
  <si>
    <t>Travel to Wellington airport</t>
  </si>
  <si>
    <t>Rotorua</t>
  </si>
  <si>
    <t>Directors catch-up and Exhibition opening</t>
  </si>
  <si>
    <t>Attending Waitangi Hui - He Whakaputanga and Te Tiriti</t>
  </si>
  <si>
    <t>Waitangi</t>
  </si>
  <si>
    <t>Meeting with Paul James</t>
  </si>
  <si>
    <t>Rita Angus and meetings</t>
  </si>
  <si>
    <t xml:space="preserve">Robin White opening </t>
  </si>
  <si>
    <t>Attending Board meeting in Gisborne</t>
  </si>
  <si>
    <t>Attending TRENZ</t>
  </si>
  <si>
    <t xml:space="preserve">To attend Mayoral Election Special Forum </t>
  </si>
  <si>
    <t xml:space="preserve">To attend Te Ara Tahi Programme </t>
  </si>
  <si>
    <t xml:space="preserve">To attend science New Zealand Awards </t>
  </si>
  <si>
    <t xml:space="preserve">To attend Takina Governance Group </t>
  </si>
  <si>
    <t>To attend blessing of Tōku reo, tō ohooho at National Library</t>
  </si>
  <si>
    <t xml:space="preserve">To catch up external </t>
  </si>
  <si>
    <t xml:space="preserve">To attend Te Matatini Kapa Haka Festival </t>
  </si>
  <si>
    <t>To attend Te Araroa Aunty Puti Service</t>
  </si>
  <si>
    <t>To attend Whare Taonga Advisory Board</t>
  </si>
  <si>
    <t>To visit Te Puia National Wood Carving School</t>
  </si>
  <si>
    <t>Whanganui</t>
  </si>
  <si>
    <t>Sydney, Australia</t>
  </si>
  <si>
    <t>Attending AMAGA Conference</t>
  </si>
  <si>
    <t xml:space="preserve">To attend CE Forum meeting </t>
  </si>
  <si>
    <t>To attend Archives Leaders Monthly hui</t>
  </si>
  <si>
    <t>To attend Airport Exhibition at Te Auaha</t>
  </si>
  <si>
    <t>Membership fees</t>
  </si>
  <si>
    <t>Entry fee</t>
  </si>
  <si>
    <t>To attend AMAGA National Conference 2023</t>
  </si>
  <si>
    <t>To attend Museums Aotearoa Museums Leadership Summit</t>
  </si>
  <si>
    <t xml:space="preserve">To attend National Digital Forum 23 </t>
  </si>
  <si>
    <t xml:space="preserve">To interview Strategy and Government Role </t>
  </si>
  <si>
    <t>Lunch for 4</t>
  </si>
  <si>
    <t>Catering for 25</t>
  </si>
  <si>
    <t xml:space="preserve">To host Art Gallery Directors' Network Hui </t>
  </si>
  <si>
    <t>Director Interviews</t>
  </si>
  <si>
    <t>Lunch for 3</t>
  </si>
  <si>
    <t xml:space="preserve">Staff Farewell </t>
  </si>
  <si>
    <t>MTA Gift Voucher</t>
  </si>
  <si>
    <t>Probus Club of Wellington Central</t>
  </si>
  <si>
    <t>Gifted to Facilities for vehicle fleet management</t>
  </si>
  <si>
    <t>Replicas, sweets and books</t>
  </si>
  <si>
    <t>Naturhistorisches Museum Wien (Austria)</t>
  </si>
  <si>
    <t>Under 250</t>
  </si>
  <si>
    <t>1 Bottle of Wine</t>
  </si>
  <si>
    <t>Gift box cocktails</t>
  </si>
  <si>
    <t>Warren and Mahoney</t>
  </si>
  <si>
    <t>Cacao and Pucara Bull</t>
  </si>
  <si>
    <t>Embassy of Peru</t>
  </si>
  <si>
    <t xml:space="preserve">Assortment of trinkets </t>
  </si>
  <si>
    <t xml:space="preserve">Indigenous Taiwanese artists and their interpreters </t>
  </si>
  <si>
    <t xml:space="preserve">Depot (Book) - Anja Nitz </t>
  </si>
  <si>
    <t>2 Large Textiles and 2 Headbands</t>
  </si>
  <si>
    <t>Grassi Museum in Leipzig (Repatriation)</t>
  </si>
  <si>
    <t>Mapuche Delegation Chile</t>
  </si>
  <si>
    <t xml:space="preserve">Car parking </t>
  </si>
  <si>
    <t>Food</t>
  </si>
  <si>
    <t>Fodd</t>
  </si>
  <si>
    <t xml:space="preserve">To attend Te Mataini </t>
  </si>
  <si>
    <t xml:space="preserve">Meeting with Leaders </t>
  </si>
  <si>
    <t>Refreshment for 4</t>
  </si>
  <si>
    <t>Trip to Europe gifts</t>
  </si>
  <si>
    <t>Books</t>
  </si>
  <si>
    <t>Meeting with staff for Te Kanawa Pitira</t>
  </si>
  <si>
    <t>Lunch for 7</t>
  </si>
  <si>
    <t>Meeting with Repatriation staff</t>
  </si>
  <si>
    <t>Car parking provided as part of employment agreement</t>
  </si>
  <si>
    <t xml:space="preserve">Repatriation of 55 Koiwi Tangata </t>
  </si>
  <si>
    <t>Hamilton</t>
  </si>
  <si>
    <t>Vienna</t>
  </si>
  <si>
    <t>Farewell for Dion Peita, Pou Ārahi Māori, Auckland Museum</t>
  </si>
  <si>
    <t>To attend closing of Kura Pounamu Exhibition</t>
  </si>
  <si>
    <t>To attend Tangi for Te Kanawa Pitiroi, Repatriation Advisory Panel member</t>
  </si>
  <si>
    <t>To attend opening of Tanenuiarangi Wharenui &amp; return of Rua Kenana taonga, Maunga Pohatu</t>
  </si>
  <si>
    <t>Returning Whanganui taonga (Te Kōanga o Rehua) to the Whanganui Regional museum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</si>
</sst>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workbookViewId="0"/>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workbookViewId="0">
      <selection sqref="A1:F1"/>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169</v>
      </c>
      <c r="C2" s="136"/>
      <c r="D2" s="136"/>
      <c r="E2" s="136"/>
      <c r="F2" s="136"/>
      <c r="G2" s="17"/>
      <c r="H2" s="17"/>
      <c r="I2" s="17"/>
      <c r="J2" s="17"/>
      <c r="K2" s="17"/>
    </row>
    <row r="3" spans="1:11" ht="21" customHeight="1" x14ac:dyDescent="0.25">
      <c r="A3" s="3" t="s">
        <v>53</v>
      </c>
      <c r="B3" s="136" t="s">
        <v>170</v>
      </c>
      <c r="C3" s="136"/>
      <c r="D3" s="136"/>
      <c r="E3" s="136"/>
      <c r="F3" s="136"/>
      <c r="G3" s="17"/>
      <c r="H3" s="17"/>
      <c r="I3" s="17"/>
      <c r="J3" s="17"/>
      <c r="K3" s="17"/>
    </row>
    <row r="4" spans="1:11" ht="21" customHeight="1" x14ac:dyDescent="0.25">
      <c r="A4" s="3" t="s">
        <v>54</v>
      </c>
      <c r="B4" s="137">
        <v>44743</v>
      </c>
      <c r="C4" s="137"/>
      <c r="D4" s="137"/>
      <c r="E4" s="137"/>
      <c r="F4" s="137"/>
      <c r="G4" s="17"/>
      <c r="H4" s="17"/>
      <c r="I4" s="17"/>
      <c r="J4" s="17"/>
      <c r="K4" s="17"/>
    </row>
    <row r="5" spans="1:11" ht="21" customHeight="1" x14ac:dyDescent="0.25">
      <c r="A5" s="3" t="s">
        <v>55</v>
      </c>
      <c r="B5" s="137">
        <v>45107</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21" customHeight="1" x14ac:dyDescent="0.25">
      <c r="A7" s="3" t="s">
        <v>57</v>
      </c>
      <c r="B7" s="133" t="s">
        <v>89</v>
      </c>
      <c r="C7" s="133"/>
      <c r="D7" s="133"/>
      <c r="E7" s="133"/>
      <c r="F7" s="133"/>
      <c r="G7" s="23"/>
      <c r="H7" s="17"/>
      <c r="I7" s="17"/>
      <c r="J7" s="17"/>
      <c r="K7" s="17"/>
    </row>
    <row r="8" spans="1:11" ht="21" customHeight="1" x14ac:dyDescent="0.25">
      <c r="A8" s="3" t="s">
        <v>59</v>
      </c>
      <c r="B8" s="133" t="s">
        <v>178</v>
      </c>
      <c r="C8" s="133"/>
      <c r="D8" s="133"/>
      <c r="E8" s="133"/>
      <c r="F8" s="133"/>
      <c r="G8" s="23"/>
      <c r="H8" s="17"/>
      <c r="I8" s="17"/>
      <c r="J8" s="17"/>
      <c r="K8" s="17"/>
    </row>
    <row r="9" spans="1:11" ht="66.75" customHeight="1" x14ac:dyDescent="0.25">
      <c r="A9" s="132" t="s">
        <v>60</v>
      </c>
      <c r="B9" s="132"/>
      <c r="C9" s="132"/>
      <c r="D9" s="132"/>
      <c r="E9" s="132"/>
      <c r="F9" s="132"/>
      <c r="G9" s="23"/>
      <c r="H9" s="17"/>
      <c r="I9" s="17"/>
      <c r="J9" s="17"/>
      <c r="K9" s="17"/>
    </row>
    <row r="10" spans="1:11" s="94" customFormat="1" ht="36" customHeight="1" x14ac:dyDescent="0.3">
      <c r="A10" s="88" t="s">
        <v>61</v>
      </c>
      <c r="B10" s="89" t="s">
        <v>62</v>
      </c>
      <c r="C10" s="89" t="s">
        <v>63</v>
      </c>
      <c r="D10" s="90"/>
      <c r="E10" s="91" t="s">
        <v>29</v>
      </c>
      <c r="F10" s="92" t="s">
        <v>64</v>
      </c>
      <c r="G10" s="93"/>
      <c r="H10" s="93"/>
      <c r="I10" s="93"/>
      <c r="J10" s="93"/>
      <c r="K10" s="93"/>
    </row>
    <row r="11" spans="1:11" ht="27.75" customHeight="1" x14ac:dyDescent="0.35">
      <c r="A11" s="8" t="s">
        <v>65</v>
      </c>
      <c r="B11" s="60">
        <f>B15+B16+B17</f>
        <v>14812.56</v>
      </c>
      <c r="C11" s="67" t="str">
        <f>IF(Travel!B6="",A34,Travel!B6)</f>
        <v>Figures exclude GST</v>
      </c>
      <c r="D11" s="6"/>
      <c r="E11" s="8" t="s">
        <v>66</v>
      </c>
      <c r="F11" s="33">
        <f>'Gifts and benefits'!C26</f>
        <v>5</v>
      </c>
      <c r="G11" s="29"/>
      <c r="H11" s="29"/>
      <c r="I11" s="29"/>
      <c r="J11" s="29"/>
      <c r="K11" s="29"/>
    </row>
    <row r="12" spans="1:11" ht="27.75" customHeight="1" x14ac:dyDescent="0.35">
      <c r="A12" s="8" t="s">
        <v>24</v>
      </c>
      <c r="B12" s="60">
        <f>Hospitality!B22</f>
        <v>637.66000000000008</v>
      </c>
      <c r="C12" s="67" t="str">
        <f>IF(Hospitality!B6="",A34,Hospitality!B6)</f>
        <v>Figures exclude GST</v>
      </c>
      <c r="D12" s="6"/>
      <c r="E12" s="8" t="s">
        <v>67</v>
      </c>
      <c r="F12" s="33">
        <f>'Gifts and benefits'!C27</f>
        <v>5</v>
      </c>
      <c r="G12" s="29"/>
      <c r="H12" s="29"/>
      <c r="I12" s="29"/>
      <c r="J12" s="29"/>
      <c r="K12" s="29"/>
    </row>
    <row r="13" spans="1:11" ht="27.75" customHeight="1" x14ac:dyDescent="0.25">
      <c r="A13" s="8" t="s">
        <v>68</v>
      </c>
      <c r="B13" s="60">
        <f>'All other expenses'!B25</f>
        <v>1576.2599999999998</v>
      </c>
      <c r="C13" s="67" t="str">
        <f>IF('All other expenses'!B6="",A34,'All other expenses'!B6)</f>
        <v>Figures exclude GST</v>
      </c>
      <c r="D13" s="6"/>
      <c r="E13" s="8" t="s">
        <v>69</v>
      </c>
      <c r="F13" s="33">
        <f>'Gifts and benefits'!C28</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Travel!B22</f>
        <v>5496.42</v>
      </c>
      <c r="C15" s="69" t="str">
        <f>C11</f>
        <v>Figures exclude GST</v>
      </c>
      <c r="D15" s="6"/>
      <c r="E15" s="6"/>
      <c r="F15" s="35"/>
      <c r="G15" s="17"/>
      <c r="H15" s="17"/>
      <c r="I15" s="17"/>
      <c r="J15" s="17"/>
      <c r="K15" s="17"/>
    </row>
    <row r="16" spans="1:11" ht="27.75" customHeight="1" x14ac:dyDescent="0.25">
      <c r="A16" s="9" t="s">
        <v>71</v>
      </c>
      <c r="B16" s="62">
        <f>Travel!B68</f>
        <v>9164.18</v>
      </c>
      <c r="C16" s="69" t="str">
        <f>C11</f>
        <v>Figures exclude GST</v>
      </c>
      <c r="D16" s="36"/>
      <c r="E16" s="6"/>
      <c r="F16" s="37"/>
      <c r="G16" s="17"/>
      <c r="H16" s="17"/>
      <c r="I16" s="17"/>
      <c r="J16" s="17"/>
      <c r="K16" s="17"/>
    </row>
    <row r="17" spans="1:11" ht="27.75" customHeight="1" x14ac:dyDescent="0.25">
      <c r="A17" s="9" t="s">
        <v>72</v>
      </c>
      <c r="B17" s="62">
        <f>Travel!B85</f>
        <v>151.96</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73</v>
      </c>
      <c r="B19" s="19"/>
      <c r="C19" s="17"/>
      <c r="D19" s="17"/>
      <c r="E19" s="17"/>
      <c r="F19" s="17"/>
      <c r="G19" s="17"/>
      <c r="H19" s="17"/>
      <c r="I19" s="17"/>
      <c r="J19" s="17"/>
      <c r="K19" s="17"/>
    </row>
    <row r="20" spans="1:11" x14ac:dyDescent="0.25">
      <c r="A20" s="20" t="s">
        <v>74</v>
      </c>
      <c r="D20" s="17"/>
      <c r="E20" s="17"/>
      <c r="F20" s="17"/>
      <c r="G20" s="17"/>
      <c r="H20" s="17"/>
      <c r="I20" s="17"/>
      <c r="J20" s="17"/>
      <c r="K20" s="17"/>
    </row>
    <row r="21" spans="1:11" ht="12.65" customHeight="1" x14ac:dyDescent="0.25">
      <c r="A21" s="20" t="s">
        <v>75</v>
      </c>
      <c r="D21" s="17"/>
      <c r="E21" s="17"/>
      <c r="F21" s="17"/>
      <c r="G21" s="17"/>
      <c r="H21" s="17"/>
      <c r="I21" s="17"/>
      <c r="J21" s="17"/>
      <c r="K21" s="17"/>
    </row>
    <row r="22" spans="1:11" ht="12.65" customHeight="1" x14ac:dyDescent="0.25">
      <c r="A22" s="20" t="s">
        <v>76</v>
      </c>
      <c r="D22" s="17"/>
      <c r="E22" s="17"/>
      <c r="F22" s="17"/>
      <c r="G22" s="17"/>
      <c r="H22" s="17"/>
      <c r="I22" s="17"/>
      <c r="J22" s="17"/>
      <c r="K22" s="17"/>
    </row>
    <row r="23" spans="1:11" ht="12.65" customHeight="1" x14ac:dyDescent="0.25">
      <c r="A23" s="20" t="s">
        <v>77</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idden="1" x14ac:dyDescent="0.25">
      <c r="A27" s="10" t="s">
        <v>80</v>
      </c>
      <c r="B27" s="10"/>
      <c r="C27" s="10"/>
      <c r="D27" s="10"/>
      <c r="E27" s="10"/>
      <c r="F27" s="10"/>
      <c r="G27" s="17"/>
      <c r="H27" s="17"/>
      <c r="I27" s="17"/>
      <c r="J27" s="17"/>
      <c r="K27" s="17"/>
    </row>
    <row r="28" spans="1:11" hidden="1" x14ac:dyDescent="0.25">
      <c r="A28" s="10" t="s">
        <v>81</v>
      </c>
      <c r="B28" s="10"/>
      <c r="C28" s="10"/>
      <c r="D28" s="10"/>
      <c r="E28" s="10"/>
      <c r="F28" s="10"/>
      <c r="G28" s="17"/>
      <c r="H28" s="17"/>
      <c r="I28" s="17"/>
      <c r="J28" s="17"/>
      <c r="K28" s="17"/>
    </row>
    <row r="29" spans="1:11" hidden="1" x14ac:dyDescent="0.25">
      <c r="A29" s="11" t="s">
        <v>82</v>
      </c>
      <c r="B29" s="11"/>
      <c r="C29" s="11"/>
      <c r="D29" s="11"/>
      <c r="E29" s="11"/>
      <c r="F29" s="11"/>
      <c r="G29" s="17"/>
      <c r="H29" s="17"/>
      <c r="I29" s="17"/>
      <c r="J29" s="17"/>
      <c r="K29" s="17"/>
    </row>
    <row r="30" spans="1:11" hidden="1" x14ac:dyDescent="0.25">
      <c r="A30" s="11" t="s">
        <v>83</v>
      </c>
      <c r="B30" s="11"/>
      <c r="C30" s="11"/>
      <c r="D30" s="11"/>
      <c r="E30" s="11"/>
      <c r="F30" s="11"/>
      <c r="G30" s="17"/>
      <c r="H30" s="17"/>
      <c r="I30" s="17"/>
      <c r="J30" s="17"/>
      <c r="K30" s="17"/>
    </row>
    <row r="31" spans="1:11" hidden="1" x14ac:dyDescent="0.25">
      <c r="A31" s="10" t="s">
        <v>84</v>
      </c>
      <c r="B31" s="10"/>
      <c r="C31" s="10"/>
      <c r="D31" s="10"/>
      <c r="E31" s="10"/>
      <c r="F31" s="10"/>
      <c r="G31" s="17"/>
      <c r="H31" s="17"/>
      <c r="I31" s="17"/>
      <c r="J31" s="17"/>
      <c r="K31" s="17"/>
    </row>
    <row r="32" spans="1:11" hidden="1" x14ac:dyDescent="0.25">
      <c r="A32" s="10" t="s">
        <v>85</v>
      </c>
      <c r="B32" s="10"/>
      <c r="C32" s="10"/>
      <c r="D32" s="10"/>
      <c r="E32" s="10"/>
      <c r="F32" s="10"/>
      <c r="G32" s="17"/>
      <c r="H32" s="17"/>
      <c r="I32" s="17"/>
      <c r="J32" s="17"/>
      <c r="K32" s="17"/>
    </row>
    <row r="33" spans="1:11" hidden="1" x14ac:dyDescent="0.25">
      <c r="A33" s="10" t="s">
        <v>86</v>
      </c>
      <c r="B33" s="10"/>
      <c r="C33" s="10"/>
      <c r="D33" s="10"/>
      <c r="E33" s="10"/>
      <c r="F33" s="10"/>
      <c r="G33" s="17"/>
      <c r="H33" s="17"/>
      <c r="I33" s="17"/>
      <c r="J33" s="17"/>
      <c r="K33" s="17"/>
    </row>
    <row r="34" spans="1:11" hidden="1" x14ac:dyDescent="0.25">
      <c r="A34" s="11" t="s">
        <v>87</v>
      </c>
      <c r="B34" s="11"/>
      <c r="C34" s="11"/>
      <c r="D34" s="11"/>
      <c r="E34" s="11"/>
      <c r="F34" s="11"/>
      <c r="G34" s="17"/>
      <c r="H34" s="17"/>
      <c r="I34" s="17"/>
      <c r="J34" s="17"/>
      <c r="K34" s="17"/>
    </row>
    <row r="35" spans="1:11" hidden="1" x14ac:dyDescent="0.25">
      <c r="A35" s="11" t="s">
        <v>88</v>
      </c>
      <c r="B35" s="11"/>
      <c r="C35" s="11"/>
      <c r="D35" s="11"/>
      <c r="E35" s="11"/>
      <c r="F35" s="11"/>
      <c r="G35" s="17"/>
      <c r="H35" s="17"/>
      <c r="I35" s="17"/>
      <c r="J35" s="17"/>
      <c r="K35" s="17"/>
    </row>
    <row r="36" spans="1:11" hidden="1" x14ac:dyDescent="0.25">
      <c r="A36" s="10" t="s">
        <v>58</v>
      </c>
      <c r="B36" s="64"/>
      <c r="C36" s="64"/>
      <c r="D36" s="64"/>
      <c r="E36" s="64"/>
      <c r="F36" s="64"/>
      <c r="G36" s="17"/>
      <c r="H36" s="17"/>
      <c r="I36" s="17"/>
      <c r="J36" s="17"/>
      <c r="K36" s="17"/>
    </row>
    <row r="37" spans="1:11" hidden="1" x14ac:dyDescent="0.25">
      <c r="A37" s="10" t="s">
        <v>89</v>
      </c>
      <c r="B37" s="64"/>
      <c r="C37" s="64"/>
      <c r="D37" s="64"/>
      <c r="E37" s="64"/>
      <c r="F37" s="64"/>
      <c r="G37" s="17"/>
      <c r="H37" s="17"/>
      <c r="I37" s="17"/>
      <c r="J37" s="17"/>
      <c r="K37" s="17"/>
    </row>
    <row r="38" spans="1:11" hidden="1" x14ac:dyDescent="0.25">
      <c r="A38" s="10" t="s">
        <v>168</v>
      </c>
      <c r="B38" s="64"/>
      <c r="C38" s="64"/>
      <c r="D38" s="64"/>
      <c r="E38" s="64"/>
      <c r="F38" s="64"/>
      <c r="G38" s="17"/>
      <c r="H38" s="17"/>
      <c r="I38" s="17"/>
      <c r="J38" s="17"/>
      <c r="K38" s="17"/>
    </row>
    <row r="39" spans="1:11" hidden="1" x14ac:dyDescent="0.25">
      <c r="A39" s="11" t="s">
        <v>90</v>
      </c>
      <c r="B39" s="4"/>
      <c r="C39" s="4"/>
      <c r="D39" s="4"/>
      <c r="E39" s="4"/>
      <c r="F39" s="4"/>
      <c r="G39" s="17"/>
      <c r="H39" s="17"/>
      <c r="I39" s="17"/>
      <c r="J39" s="17"/>
      <c r="K39" s="17"/>
    </row>
    <row r="40" spans="1:11" hidden="1" x14ac:dyDescent="0.25">
      <c r="A40" s="4" t="s">
        <v>91</v>
      </c>
      <c r="B40" s="4"/>
      <c r="C40" s="4"/>
      <c r="D40" s="4"/>
      <c r="E40" s="4"/>
      <c r="F40" s="4"/>
      <c r="G40" s="17"/>
      <c r="H40" s="17"/>
      <c r="I40" s="17"/>
      <c r="J40" s="17"/>
      <c r="K40" s="17"/>
    </row>
    <row r="41" spans="1:11" hidden="1" x14ac:dyDescent="0.25">
      <c r="A41" s="4" t="s">
        <v>92</v>
      </c>
      <c r="B41" s="4"/>
      <c r="C41" s="4"/>
      <c r="D41" s="4"/>
      <c r="E41" s="4"/>
      <c r="F41" s="4"/>
      <c r="G41" s="17"/>
      <c r="H41" s="17"/>
      <c r="I41" s="17"/>
      <c r="J41" s="17"/>
      <c r="K41" s="17"/>
    </row>
    <row r="42" spans="1:11" hidden="1" x14ac:dyDescent="0.25">
      <c r="A42" s="4" t="s">
        <v>93</v>
      </c>
      <c r="B42" s="4"/>
      <c r="C42" s="4"/>
      <c r="D42" s="4"/>
      <c r="E42" s="4"/>
      <c r="F42" s="4"/>
      <c r="G42" s="17"/>
      <c r="H42" s="17"/>
      <c r="I42" s="17"/>
      <c r="J42" s="17"/>
      <c r="K42" s="17"/>
    </row>
    <row r="43" spans="1:11" hidden="1" x14ac:dyDescent="0.25">
      <c r="A43" s="4" t="s">
        <v>94</v>
      </c>
      <c r="B43" s="4"/>
      <c r="C43" s="4"/>
      <c r="D43" s="4"/>
      <c r="E43" s="4"/>
      <c r="F43" s="4"/>
      <c r="G43" s="17"/>
      <c r="H43" s="17"/>
      <c r="I43" s="17"/>
      <c r="J43" s="17"/>
      <c r="K43" s="17"/>
    </row>
    <row r="44" spans="1:11" hidden="1" x14ac:dyDescent="0.25">
      <c r="A44" s="4" t="s">
        <v>95</v>
      </c>
      <c r="B44" s="4"/>
      <c r="C44" s="4"/>
      <c r="D44" s="4"/>
      <c r="E44" s="4"/>
      <c r="F44" s="4"/>
      <c r="G44" s="17"/>
      <c r="H44" s="17"/>
      <c r="I44" s="17"/>
      <c r="J44" s="17"/>
      <c r="K44" s="17"/>
    </row>
    <row r="45" spans="1:11" hidden="1" x14ac:dyDescent="0.25">
      <c r="A45" s="65" t="s">
        <v>96</v>
      </c>
      <c r="B45" s="64"/>
      <c r="C45" s="64"/>
      <c r="D45" s="64"/>
      <c r="E45" s="64"/>
      <c r="F45" s="64"/>
      <c r="G45" s="17"/>
      <c r="H45" s="17"/>
      <c r="I45" s="17"/>
      <c r="J45" s="17"/>
      <c r="K45" s="17"/>
    </row>
    <row r="46" spans="1:11" hidden="1" x14ac:dyDescent="0.25">
      <c r="A46" s="64" t="s">
        <v>97</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98</v>
      </c>
      <c r="B48" s="64"/>
      <c r="C48" s="64"/>
      <c r="D48" s="64"/>
      <c r="E48" s="64"/>
      <c r="F48" s="64"/>
      <c r="G48" s="17"/>
      <c r="H48" s="17"/>
      <c r="I48" s="17"/>
      <c r="J48" s="17"/>
      <c r="K48" s="17"/>
    </row>
    <row r="49" spans="1:11" ht="25" hidden="1" x14ac:dyDescent="0.25">
      <c r="A49" s="82" t="s">
        <v>99</v>
      </c>
      <c r="B49" s="64"/>
      <c r="C49" s="64"/>
      <c r="D49" s="64"/>
      <c r="E49" s="64"/>
      <c r="F49" s="64"/>
      <c r="G49" s="17"/>
      <c r="H49" s="17"/>
      <c r="I49" s="17"/>
      <c r="J49" s="17"/>
      <c r="K49" s="17"/>
    </row>
    <row r="50" spans="1:11" ht="25" hidden="1" x14ac:dyDescent="0.25">
      <c r="A50" s="83" t="s">
        <v>100</v>
      </c>
      <c r="B50" s="4"/>
      <c r="C50" s="4"/>
      <c r="D50" s="4"/>
      <c r="E50" s="4"/>
      <c r="F50" s="4"/>
      <c r="G50" s="17"/>
      <c r="H50" s="17"/>
      <c r="I50" s="17"/>
      <c r="J50" s="17"/>
      <c r="K50" s="17"/>
    </row>
    <row r="51" spans="1:11" ht="25" hidden="1" x14ac:dyDescent="0.25">
      <c r="A51" s="83" t="s">
        <v>101</v>
      </c>
      <c r="B51" s="4"/>
      <c r="C51" s="4"/>
      <c r="D51" s="4"/>
      <c r="E51" s="4"/>
      <c r="F51" s="4"/>
      <c r="G51" s="17"/>
      <c r="H51" s="17"/>
      <c r="I51" s="17"/>
      <c r="J51" s="17"/>
      <c r="K51" s="17"/>
    </row>
    <row r="52" spans="1:11" ht="37.5" hidden="1" x14ac:dyDescent="0.3">
      <c r="A52" s="83" t="s">
        <v>102</v>
      </c>
      <c r="B52" s="75"/>
      <c r="C52" s="75"/>
      <c r="D52" s="75"/>
      <c r="E52" s="11"/>
      <c r="F52" s="11"/>
      <c r="G52" s="17"/>
      <c r="H52" s="17"/>
      <c r="I52" s="17"/>
      <c r="J52" s="17"/>
      <c r="K52" s="17"/>
    </row>
    <row r="53" spans="1:11" ht="13" hidden="1" x14ac:dyDescent="0.3">
      <c r="A53" s="80" t="s">
        <v>103</v>
      </c>
      <c r="B53" s="74"/>
      <c r="C53" s="74"/>
      <c r="D53" s="74"/>
      <c r="E53" s="10"/>
      <c r="F53" s="10" t="b">
        <v>1</v>
      </c>
      <c r="G53" s="17"/>
      <c r="H53" s="17"/>
      <c r="I53" s="17"/>
      <c r="J53" s="17"/>
      <c r="K53" s="17"/>
    </row>
    <row r="54" spans="1:11" ht="13" hidden="1" x14ac:dyDescent="0.3">
      <c r="A54" s="81" t="s">
        <v>104</v>
      </c>
      <c r="B54" s="80"/>
      <c r="C54" s="80"/>
      <c r="D54" s="80"/>
      <c r="E54" s="10"/>
      <c r="F54" s="10" t="b">
        <v>0</v>
      </c>
      <c r="G54" s="17"/>
      <c r="H54" s="17"/>
      <c r="I54" s="17"/>
      <c r="J54" s="17"/>
      <c r="K54" s="17"/>
    </row>
    <row r="55" spans="1:11" ht="13" hidden="1" x14ac:dyDescent="0.25">
      <c r="A55" s="84"/>
      <c r="B55" s="76">
        <f>COUNT(Travel!B12:B21)</f>
        <v>3</v>
      </c>
      <c r="C55" s="76"/>
      <c r="D55" s="76">
        <f>COUNTIF(Travel!D12:D21,"*")</f>
        <v>3</v>
      </c>
      <c r="E55" s="77"/>
      <c r="F55" s="77" t="b">
        <f>MIN(B55,D55)=MAX(B55,D55)</f>
        <v>1</v>
      </c>
      <c r="G55" s="17"/>
      <c r="H55" s="17"/>
      <c r="I55" s="17"/>
      <c r="J55" s="17"/>
      <c r="K55" s="17"/>
    </row>
    <row r="56" spans="1:11" ht="13" hidden="1" x14ac:dyDescent="0.25">
      <c r="A56" s="84" t="s">
        <v>105</v>
      </c>
      <c r="B56" s="76">
        <f>COUNT(Travel!B26:B67)</f>
        <v>38</v>
      </c>
      <c r="C56" s="76"/>
      <c r="D56" s="76">
        <f>COUNTIF(Travel!D26:D67,"*")</f>
        <v>38</v>
      </c>
      <c r="E56" s="77"/>
      <c r="F56" s="77" t="b">
        <f>MIN(B56,D56)=MAX(B56,D56)</f>
        <v>1</v>
      </c>
    </row>
    <row r="57" spans="1:11" ht="13" hidden="1" x14ac:dyDescent="0.3">
      <c r="A57" s="85"/>
      <c r="B57" s="76">
        <f>COUNT(Travel!B72:B84)</f>
        <v>10</v>
      </c>
      <c r="C57" s="76"/>
      <c r="D57" s="76">
        <f>COUNTIF(Travel!D72:D84,"*")</f>
        <v>10</v>
      </c>
      <c r="E57" s="77"/>
      <c r="F57" s="77" t="b">
        <f>MIN(B57,D57)=MAX(B57,D57)</f>
        <v>1</v>
      </c>
    </row>
    <row r="58" spans="1:11" ht="13" hidden="1" x14ac:dyDescent="0.3">
      <c r="A58" s="86" t="s">
        <v>106</v>
      </c>
      <c r="B58" s="78">
        <f>COUNT(Hospitality!B11:B21)</f>
        <v>4</v>
      </c>
      <c r="C58" s="78"/>
      <c r="D58" s="78">
        <f>COUNTIF(Hospitality!D11:D21,"*")</f>
        <v>4</v>
      </c>
      <c r="E58" s="79"/>
      <c r="F58" s="79" t="b">
        <f>MIN(B58,D58)=MAX(B58,D58)</f>
        <v>1</v>
      </c>
    </row>
    <row r="59" spans="1:11" ht="13" hidden="1" x14ac:dyDescent="0.3">
      <c r="A59" s="87" t="s">
        <v>107</v>
      </c>
      <c r="B59" s="77">
        <f>COUNT('All other expenses'!B11:B24)</f>
        <v>3</v>
      </c>
      <c r="C59" s="77"/>
      <c r="D59" s="77">
        <f>COUNTIF('All other expenses'!D11:D24,"*")</f>
        <v>3</v>
      </c>
      <c r="E59" s="77"/>
      <c r="F59" s="77" t="b">
        <f>MIN(B59,D59)=MAX(B59,D59)</f>
        <v>1</v>
      </c>
    </row>
    <row r="60" spans="1:11" ht="13" hidden="1" x14ac:dyDescent="0.3">
      <c r="A60" s="86" t="s">
        <v>108</v>
      </c>
      <c r="B60" s="78">
        <f>COUNTIF('Gifts and benefits'!B11:B25,"*")</f>
        <v>5</v>
      </c>
      <c r="C60" s="78">
        <f>COUNTIF('Gifts and benefits'!C11:C25,"*")</f>
        <v>5</v>
      </c>
      <c r="D60" s="78"/>
      <c r="E60" s="78">
        <f>COUNTA('Gifts and benefits'!E11:E25)</f>
        <v>5</v>
      </c>
      <c r="F60" s="79"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32"/>
  <sheetViews>
    <sheetView topLeftCell="A14" workbookViewId="0">
      <selection activeCell="D80" sqref="D8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5" t="s">
        <v>109</v>
      </c>
      <c r="B1" s="135"/>
      <c r="C1" s="135"/>
      <c r="D1" s="135"/>
      <c r="E1" s="135"/>
      <c r="F1" s="17"/>
    </row>
    <row r="2" spans="1:6" ht="21" customHeight="1" x14ac:dyDescent="0.25">
      <c r="A2" s="3" t="s">
        <v>52</v>
      </c>
      <c r="B2" s="138" t="str">
        <f>'Summary and sign-off CE'!B2:F2</f>
        <v>Museum of New Zealand Te Papa Tongarewa</v>
      </c>
      <c r="C2" s="138"/>
      <c r="D2" s="138"/>
      <c r="E2" s="138"/>
      <c r="F2" s="17"/>
    </row>
    <row r="3" spans="1:6" ht="21" customHeight="1" x14ac:dyDescent="0.25">
      <c r="A3" s="3" t="s">
        <v>110</v>
      </c>
      <c r="B3" s="138" t="str">
        <f>'Summary and sign-off CE'!B3:F3</f>
        <v>Courtney Johnston</v>
      </c>
      <c r="C3" s="138"/>
      <c r="D3" s="138"/>
      <c r="E3" s="138"/>
      <c r="F3" s="17"/>
    </row>
    <row r="4" spans="1:6" ht="21" customHeight="1" x14ac:dyDescent="0.25">
      <c r="A4" s="3" t="s">
        <v>111</v>
      </c>
      <c r="B4" s="138">
        <f>'Summary and sign-off CE'!B4:F4</f>
        <v>44743</v>
      </c>
      <c r="C4" s="138"/>
      <c r="D4" s="138"/>
      <c r="E4" s="138"/>
      <c r="F4" s="17"/>
    </row>
    <row r="5" spans="1:6" ht="21" customHeight="1" x14ac:dyDescent="0.25">
      <c r="A5" s="3" t="s">
        <v>112</v>
      </c>
      <c r="B5" s="138">
        <f>'Summary and sign-off CE'!B5:F5</f>
        <v>45107</v>
      </c>
      <c r="C5" s="138"/>
      <c r="D5" s="138"/>
      <c r="E5" s="138"/>
      <c r="F5" s="17"/>
    </row>
    <row r="6" spans="1:6" ht="21" customHeight="1" x14ac:dyDescent="0.25">
      <c r="A6" s="3" t="s">
        <v>113</v>
      </c>
      <c r="B6" s="133" t="s">
        <v>81</v>
      </c>
      <c r="C6" s="133"/>
      <c r="D6" s="133"/>
      <c r="E6" s="133"/>
      <c r="F6" s="17"/>
    </row>
    <row r="7" spans="1:6" ht="21" customHeight="1" x14ac:dyDescent="0.25">
      <c r="A7" s="3" t="s">
        <v>56</v>
      </c>
      <c r="B7" s="133" t="s">
        <v>83</v>
      </c>
      <c r="C7" s="133"/>
      <c r="D7" s="133"/>
      <c r="E7" s="133"/>
      <c r="F7" s="17"/>
    </row>
    <row r="8" spans="1:6" ht="36" customHeight="1" x14ac:dyDescent="0.3">
      <c r="A8" s="141" t="s">
        <v>114</v>
      </c>
      <c r="B8" s="142"/>
      <c r="C8" s="142"/>
      <c r="D8" s="142"/>
      <c r="E8" s="142"/>
      <c r="F8" s="19"/>
    </row>
    <row r="9" spans="1:6" ht="36" customHeight="1" x14ac:dyDescent="0.3">
      <c r="A9" s="143" t="s">
        <v>115</v>
      </c>
      <c r="B9" s="144"/>
      <c r="C9" s="144"/>
      <c r="D9" s="144"/>
      <c r="E9" s="144"/>
      <c r="F9" s="19"/>
    </row>
    <row r="10" spans="1:6" ht="24.75" customHeight="1" x14ac:dyDescent="0.35">
      <c r="A10" s="140" t="s">
        <v>116</v>
      </c>
      <c r="B10" s="145"/>
      <c r="C10" s="140"/>
      <c r="D10" s="140"/>
      <c r="E10" s="140"/>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x14ac:dyDescent="0.25">
      <c r="A13" s="120">
        <v>45060</v>
      </c>
      <c r="B13" s="121">
        <v>1299.1500000000001</v>
      </c>
      <c r="C13" s="122" t="s">
        <v>218</v>
      </c>
      <c r="D13" s="122" t="s">
        <v>179</v>
      </c>
      <c r="E13" s="123" t="s">
        <v>217</v>
      </c>
      <c r="F13" s="1"/>
    </row>
    <row r="14" spans="1:6" s="2" customFormat="1" x14ac:dyDescent="0.25">
      <c r="A14" s="120">
        <v>45060</v>
      </c>
      <c r="B14" s="121">
        <v>3962.27</v>
      </c>
      <c r="C14" s="122" t="s">
        <v>218</v>
      </c>
      <c r="D14" s="122" t="s">
        <v>180</v>
      </c>
      <c r="E14" s="123" t="s">
        <v>217</v>
      </c>
      <c r="F14" s="1"/>
    </row>
    <row r="15" spans="1:6" s="2" customFormat="1" x14ac:dyDescent="0.25">
      <c r="A15" s="120">
        <v>45060</v>
      </c>
      <c r="B15" s="121">
        <v>235</v>
      </c>
      <c r="C15" s="122" t="s">
        <v>218</v>
      </c>
      <c r="D15" s="122" t="s">
        <v>193</v>
      </c>
      <c r="E15" s="123" t="s">
        <v>217</v>
      </c>
      <c r="F15" s="1"/>
    </row>
    <row r="16" spans="1:6" s="2" customFormat="1" hidden="1" x14ac:dyDescent="0.25">
      <c r="A16" s="120"/>
      <c r="B16" s="121"/>
      <c r="C16" s="122"/>
      <c r="D16" s="122"/>
      <c r="E16" s="123"/>
      <c r="F16" s="1"/>
    </row>
    <row r="17" spans="1:6" s="2" customFormat="1" hidden="1" x14ac:dyDescent="0.25">
      <c r="A17" s="120"/>
      <c r="B17" s="121"/>
      <c r="C17" s="122"/>
      <c r="D17" s="122"/>
      <c r="E17" s="123"/>
      <c r="F17" s="1"/>
    </row>
    <row r="18" spans="1:6" s="2" customFormat="1" ht="12.75" hidden="1" customHeight="1" x14ac:dyDescent="0.25">
      <c r="A18" s="120"/>
      <c r="B18" s="121"/>
      <c r="C18" s="122"/>
      <c r="D18" s="122"/>
      <c r="E18" s="123"/>
      <c r="F18" s="1"/>
    </row>
    <row r="19" spans="1:6" s="2" customFormat="1" hidden="1" x14ac:dyDescent="0.25">
      <c r="A19" s="124"/>
      <c r="B19" s="121"/>
      <c r="C19" s="122"/>
      <c r="D19" s="122"/>
      <c r="E19" s="123"/>
      <c r="F19" s="1"/>
    </row>
    <row r="20" spans="1:6" s="2" customFormat="1" hidden="1" x14ac:dyDescent="0.25">
      <c r="A20" s="124"/>
      <c r="B20" s="121"/>
      <c r="C20" s="122"/>
      <c r="D20" s="122"/>
      <c r="E20" s="123"/>
      <c r="F20" s="1"/>
    </row>
    <row r="21" spans="1:6" s="2" customFormat="1" hidden="1" x14ac:dyDescent="0.25">
      <c r="A21" s="106"/>
      <c r="B21" s="107"/>
      <c r="C21" s="108"/>
      <c r="D21" s="108"/>
      <c r="E21" s="109"/>
      <c r="F21" s="1"/>
    </row>
    <row r="22" spans="1:6" ht="19.5" customHeight="1" x14ac:dyDescent="0.25">
      <c r="A22" s="72" t="s">
        <v>122</v>
      </c>
      <c r="B22" s="73">
        <f>SUM(B12:B21)</f>
        <v>5496.42</v>
      </c>
      <c r="C22" s="131" t="str">
        <f>IF(SUBTOTAL(3,B12:B21)=SUBTOTAL(103,B12:B21),'Summary and sign-off CE'!$A$48,'Summary and sign-off CE'!$A$49)</f>
        <v>Check - there are no hidden rows with data</v>
      </c>
      <c r="D22" s="139" t="str">
        <f>IF('Summary and sign-off CE'!F55='Summary and sign-off CE'!F54,'Summary and sign-off CE'!A51,'Summary and sign-off CE'!A50)</f>
        <v>Check - each entry provides sufficient information</v>
      </c>
      <c r="E22" s="139"/>
      <c r="F22" s="17"/>
    </row>
    <row r="23" spans="1:6" ht="10.5" customHeight="1" x14ac:dyDescent="0.3">
      <c r="A23" s="17"/>
      <c r="B23" s="19"/>
      <c r="C23" s="17"/>
      <c r="D23" s="17"/>
      <c r="E23" s="17"/>
      <c r="F23" s="17"/>
    </row>
    <row r="24" spans="1:6" ht="24.75" customHeight="1" x14ac:dyDescent="0.35">
      <c r="A24" s="140" t="s">
        <v>123</v>
      </c>
      <c r="B24" s="140"/>
      <c r="C24" s="140"/>
      <c r="D24" s="140"/>
      <c r="E24" s="140"/>
      <c r="F24" s="29"/>
    </row>
    <row r="25" spans="1:6" ht="27" customHeight="1" x14ac:dyDescent="0.25">
      <c r="A25" s="24" t="s">
        <v>117</v>
      </c>
      <c r="B25" s="24" t="s">
        <v>62</v>
      </c>
      <c r="C25" s="24" t="s">
        <v>124</v>
      </c>
      <c r="D25" s="24" t="s">
        <v>120</v>
      </c>
      <c r="E25" s="24" t="s">
        <v>121</v>
      </c>
      <c r="F25" s="30"/>
    </row>
    <row r="26" spans="1:6" s="2" customFormat="1" hidden="1" x14ac:dyDescent="0.25">
      <c r="A26" s="96"/>
      <c r="B26" s="97"/>
      <c r="C26" s="98"/>
      <c r="D26" s="98"/>
      <c r="E26" s="99"/>
      <c r="F26" s="1"/>
    </row>
    <row r="27" spans="1:6" s="2" customFormat="1" x14ac:dyDescent="0.25">
      <c r="A27" s="120">
        <v>44743</v>
      </c>
      <c r="B27" s="121">
        <v>88.73</v>
      </c>
      <c r="C27" s="122" t="s">
        <v>198</v>
      </c>
      <c r="D27" s="122" t="s">
        <v>171</v>
      </c>
      <c r="E27" s="123" t="s">
        <v>174</v>
      </c>
      <c r="F27" s="1"/>
    </row>
    <row r="28" spans="1:6" s="2" customFormat="1" x14ac:dyDescent="0.25">
      <c r="A28" s="120">
        <v>44746</v>
      </c>
      <c r="B28" s="121">
        <v>111.95</v>
      </c>
      <c r="C28" s="122" t="s">
        <v>198</v>
      </c>
      <c r="D28" s="122" t="s">
        <v>171</v>
      </c>
      <c r="E28" s="123" t="s">
        <v>174</v>
      </c>
      <c r="F28" s="1"/>
    </row>
    <row r="29" spans="1:6" s="2" customFormat="1" x14ac:dyDescent="0.25">
      <c r="A29" s="120">
        <v>44753</v>
      </c>
      <c r="B29" s="121">
        <v>18.510000000000002</v>
      </c>
      <c r="C29" s="122" t="s">
        <v>189</v>
      </c>
      <c r="D29" s="122" t="s">
        <v>171</v>
      </c>
      <c r="E29" s="123" t="s">
        <v>190</v>
      </c>
      <c r="F29" s="1"/>
    </row>
    <row r="30" spans="1:6" s="2" customFormat="1" x14ac:dyDescent="0.25">
      <c r="A30" s="120">
        <v>44781</v>
      </c>
      <c r="B30" s="121">
        <v>24.1</v>
      </c>
      <c r="C30" s="122" t="s">
        <v>192</v>
      </c>
      <c r="D30" s="122" t="s">
        <v>171</v>
      </c>
      <c r="E30" s="123" t="s">
        <v>190</v>
      </c>
      <c r="F30" s="1"/>
    </row>
    <row r="31" spans="1:6" s="2" customFormat="1" x14ac:dyDescent="0.25">
      <c r="A31" s="120">
        <v>44831</v>
      </c>
      <c r="B31" s="121">
        <v>862.47</v>
      </c>
      <c r="C31" s="122" t="s">
        <v>184</v>
      </c>
      <c r="D31" s="122" t="s">
        <v>179</v>
      </c>
      <c r="E31" s="123" t="s">
        <v>185</v>
      </c>
      <c r="F31" s="1"/>
    </row>
    <row r="32" spans="1:6" s="2" customFormat="1" x14ac:dyDescent="0.25">
      <c r="A32" s="120">
        <v>44831</v>
      </c>
      <c r="B32" s="121">
        <v>518.38</v>
      </c>
      <c r="C32" s="122" t="s">
        <v>184</v>
      </c>
      <c r="D32" s="122" t="s">
        <v>193</v>
      </c>
      <c r="E32" s="123" t="s">
        <v>185</v>
      </c>
      <c r="F32" s="1"/>
    </row>
    <row r="33" spans="1:6" s="2" customFormat="1" x14ac:dyDescent="0.25">
      <c r="A33" s="120">
        <v>44831</v>
      </c>
      <c r="B33" s="121">
        <v>328.7</v>
      </c>
      <c r="C33" s="122" t="s">
        <v>184</v>
      </c>
      <c r="D33" s="122" t="s">
        <v>180</v>
      </c>
      <c r="E33" s="123" t="s">
        <v>185</v>
      </c>
      <c r="F33" s="1"/>
    </row>
    <row r="34" spans="1:6" s="2" customFormat="1" x14ac:dyDescent="0.25">
      <c r="A34" s="120">
        <v>44833</v>
      </c>
      <c r="B34" s="121">
        <v>23.37</v>
      </c>
      <c r="C34" s="122" t="s">
        <v>184</v>
      </c>
      <c r="D34" s="122" t="s">
        <v>171</v>
      </c>
      <c r="E34" s="123" t="s">
        <v>185</v>
      </c>
      <c r="F34" s="1"/>
    </row>
    <row r="35" spans="1:6" s="2" customFormat="1" x14ac:dyDescent="0.25">
      <c r="A35" s="120">
        <v>44855</v>
      </c>
      <c r="B35" s="121">
        <v>673.1</v>
      </c>
      <c r="C35" s="122" t="s">
        <v>191</v>
      </c>
      <c r="D35" s="122" t="s">
        <v>179</v>
      </c>
      <c r="E35" s="123" t="s">
        <v>187</v>
      </c>
      <c r="F35" s="1"/>
    </row>
    <row r="36" spans="1:6" s="2" customFormat="1" x14ac:dyDescent="0.25">
      <c r="A36" s="120">
        <v>44855</v>
      </c>
      <c r="B36" s="121">
        <v>14</v>
      </c>
      <c r="C36" s="122" t="s">
        <v>191</v>
      </c>
      <c r="D36" s="122" t="s">
        <v>193</v>
      </c>
      <c r="E36" s="123" t="s">
        <v>187</v>
      </c>
      <c r="F36" s="1"/>
    </row>
    <row r="37" spans="1:6" s="2" customFormat="1" x14ac:dyDescent="0.25">
      <c r="A37" s="120">
        <v>44855</v>
      </c>
      <c r="B37" s="121">
        <v>15.47</v>
      </c>
      <c r="C37" s="122" t="s">
        <v>191</v>
      </c>
      <c r="D37" s="122" t="s">
        <v>193</v>
      </c>
      <c r="E37" s="123" t="s">
        <v>187</v>
      </c>
      <c r="F37" s="1"/>
    </row>
    <row r="38" spans="1:6" s="2" customFormat="1" x14ac:dyDescent="0.25">
      <c r="A38" s="120">
        <v>44859</v>
      </c>
      <c r="B38" s="121">
        <v>45.370000000000005</v>
      </c>
      <c r="C38" s="122" t="s">
        <v>191</v>
      </c>
      <c r="D38" s="122" t="s">
        <v>171</v>
      </c>
      <c r="E38" s="123" t="s">
        <v>187</v>
      </c>
      <c r="F38" s="1"/>
    </row>
    <row r="39" spans="1:6" s="2" customFormat="1" x14ac:dyDescent="0.25">
      <c r="A39" s="120">
        <v>44862</v>
      </c>
      <c r="B39" s="121">
        <v>521.26</v>
      </c>
      <c r="C39" s="122" t="s">
        <v>188</v>
      </c>
      <c r="D39" s="122" t="s">
        <v>179</v>
      </c>
      <c r="E39" s="123" t="s">
        <v>185</v>
      </c>
      <c r="F39" s="1"/>
    </row>
    <row r="40" spans="1:6" s="2" customFormat="1" x14ac:dyDescent="0.25">
      <c r="A40" s="120">
        <v>44862</v>
      </c>
      <c r="B40" s="121">
        <v>426.09</v>
      </c>
      <c r="C40" s="122" t="s">
        <v>188</v>
      </c>
      <c r="D40" s="122" t="s">
        <v>180</v>
      </c>
      <c r="E40" s="123" t="s">
        <v>185</v>
      </c>
      <c r="F40" s="1"/>
    </row>
    <row r="41" spans="1:6" s="2" customFormat="1" x14ac:dyDescent="0.25">
      <c r="A41" s="120">
        <v>44862</v>
      </c>
      <c r="B41" s="121">
        <f>48+79.13</f>
        <v>127.13</v>
      </c>
      <c r="C41" s="122" t="s">
        <v>188</v>
      </c>
      <c r="D41" s="122" t="s">
        <v>193</v>
      </c>
      <c r="E41" s="123" t="s">
        <v>185</v>
      </c>
      <c r="F41" s="1"/>
    </row>
    <row r="42" spans="1:6" s="2" customFormat="1" x14ac:dyDescent="0.25">
      <c r="A42" s="120">
        <v>44865</v>
      </c>
      <c r="B42" s="121">
        <f>45.23+2.61</f>
        <v>47.839999999999996</v>
      </c>
      <c r="C42" s="122" t="s">
        <v>188</v>
      </c>
      <c r="D42" s="122" t="s">
        <v>171</v>
      </c>
      <c r="E42" s="123" t="s">
        <v>185</v>
      </c>
      <c r="F42" s="1"/>
    </row>
    <row r="43" spans="1:6" s="2" customFormat="1" x14ac:dyDescent="0.25">
      <c r="A43" s="120">
        <v>44867</v>
      </c>
      <c r="B43" s="121">
        <v>898.19</v>
      </c>
      <c r="C43" s="122" t="s">
        <v>199</v>
      </c>
      <c r="D43" s="122" t="s">
        <v>179</v>
      </c>
      <c r="E43" s="123" t="s">
        <v>200</v>
      </c>
      <c r="F43" s="1"/>
    </row>
    <row r="44" spans="1:6" s="2" customFormat="1" x14ac:dyDescent="0.25">
      <c r="A44" s="120">
        <v>44867</v>
      </c>
      <c r="B44" s="121">
        <v>474.78</v>
      </c>
      <c r="C44" s="122" t="s">
        <v>199</v>
      </c>
      <c r="D44" s="122" t="s">
        <v>180</v>
      </c>
      <c r="E44" s="123" t="s">
        <v>200</v>
      </c>
      <c r="F44" s="1"/>
    </row>
    <row r="45" spans="1:6" s="2" customFormat="1" x14ac:dyDescent="0.25">
      <c r="A45" s="120">
        <v>44867</v>
      </c>
      <c r="B45" s="121">
        <v>4</v>
      </c>
      <c r="C45" s="122" t="s">
        <v>199</v>
      </c>
      <c r="D45" s="122" t="s">
        <v>179</v>
      </c>
      <c r="E45" s="123" t="s">
        <v>200</v>
      </c>
      <c r="F45" s="1"/>
    </row>
    <row r="46" spans="1:6" s="2" customFormat="1" x14ac:dyDescent="0.25">
      <c r="A46" s="120">
        <v>44868</v>
      </c>
      <c r="B46" s="121">
        <v>17.78</v>
      </c>
      <c r="C46" s="122" t="s">
        <v>199</v>
      </c>
      <c r="D46" s="122" t="s">
        <v>171</v>
      </c>
      <c r="E46" s="123" t="s">
        <v>200</v>
      </c>
      <c r="F46" s="1"/>
    </row>
    <row r="47" spans="1:6" s="2" customFormat="1" x14ac:dyDescent="0.25">
      <c r="A47" s="120">
        <v>44872</v>
      </c>
      <c r="B47" s="121">
        <v>3.04</v>
      </c>
      <c r="C47" s="122" t="s">
        <v>199</v>
      </c>
      <c r="D47" s="122" t="s">
        <v>193</v>
      </c>
      <c r="E47" s="123" t="s">
        <v>200</v>
      </c>
      <c r="F47" s="1"/>
    </row>
    <row r="48" spans="1:6" s="2" customFormat="1" x14ac:dyDescent="0.25">
      <c r="A48" s="120">
        <v>44878</v>
      </c>
      <c r="B48" s="121">
        <v>499.33</v>
      </c>
      <c r="C48" s="122" t="s">
        <v>186</v>
      </c>
      <c r="D48" s="122" t="s">
        <v>179</v>
      </c>
      <c r="E48" s="123" t="s">
        <v>174</v>
      </c>
      <c r="F48" s="1"/>
    </row>
    <row r="49" spans="1:6" s="2" customFormat="1" x14ac:dyDescent="0.25">
      <c r="A49" s="120">
        <v>44878</v>
      </c>
      <c r="B49" s="121">
        <v>852.17</v>
      </c>
      <c r="C49" s="122" t="s">
        <v>186</v>
      </c>
      <c r="D49" s="122" t="s">
        <v>180</v>
      </c>
      <c r="E49" s="123" t="s">
        <v>174</v>
      </c>
      <c r="F49" s="1"/>
    </row>
    <row r="50" spans="1:6" s="2" customFormat="1" x14ac:dyDescent="0.25">
      <c r="A50" s="120">
        <v>44878</v>
      </c>
      <c r="B50" s="121">
        <v>24</v>
      </c>
      <c r="C50" s="122" t="s">
        <v>186</v>
      </c>
      <c r="D50" s="122" t="s">
        <v>193</v>
      </c>
      <c r="E50" s="123" t="s">
        <v>174</v>
      </c>
      <c r="F50" s="1"/>
    </row>
    <row r="51" spans="1:6" s="2" customFormat="1" x14ac:dyDescent="0.25">
      <c r="A51" s="120">
        <v>44880</v>
      </c>
      <c r="B51" s="121">
        <f>206.82+41.89+96.52</f>
        <v>345.22999999999996</v>
      </c>
      <c r="C51" s="122" t="s">
        <v>186</v>
      </c>
      <c r="D51" s="122" t="s">
        <v>171</v>
      </c>
      <c r="E51" s="123" t="s">
        <v>174</v>
      </c>
      <c r="F51" s="1"/>
    </row>
    <row r="52" spans="1:6" s="2" customFormat="1" x14ac:dyDescent="0.25">
      <c r="A52" s="120">
        <v>44988</v>
      </c>
      <c r="B52" s="121">
        <v>375.09</v>
      </c>
      <c r="C52" s="122" t="s">
        <v>202</v>
      </c>
      <c r="D52" s="122" t="s">
        <v>179</v>
      </c>
      <c r="E52" s="123" t="s">
        <v>174</v>
      </c>
      <c r="F52" s="1"/>
    </row>
    <row r="53" spans="1:6" s="2" customFormat="1" x14ac:dyDescent="0.25">
      <c r="A53" s="120">
        <v>44988</v>
      </c>
      <c r="B53" s="121">
        <v>351.23</v>
      </c>
      <c r="C53" s="122" t="s">
        <v>202</v>
      </c>
      <c r="D53" s="122" t="s">
        <v>180</v>
      </c>
      <c r="E53" s="123" t="s">
        <v>174</v>
      </c>
      <c r="F53" s="1"/>
    </row>
    <row r="54" spans="1:6" s="2" customFormat="1" ht="14.25" customHeight="1" x14ac:dyDescent="0.25">
      <c r="A54" s="120">
        <v>44988</v>
      </c>
      <c r="B54" s="121">
        <f>5+55</f>
        <v>60</v>
      </c>
      <c r="C54" s="122" t="s">
        <v>202</v>
      </c>
      <c r="D54" s="122" t="s">
        <v>193</v>
      </c>
      <c r="E54" s="123" t="s">
        <v>174</v>
      </c>
      <c r="F54" s="1"/>
    </row>
    <row r="55" spans="1:6" s="2" customFormat="1" ht="14.25" customHeight="1" x14ac:dyDescent="0.25">
      <c r="A55" s="120">
        <v>44988</v>
      </c>
      <c r="B55" s="121">
        <v>181.32</v>
      </c>
      <c r="C55" s="122" t="s">
        <v>202</v>
      </c>
      <c r="D55" s="122" t="s">
        <v>171</v>
      </c>
      <c r="E55" s="123" t="s">
        <v>174</v>
      </c>
      <c r="F55" s="1"/>
    </row>
    <row r="56" spans="1:6" s="2" customFormat="1" x14ac:dyDescent="0.25">
      <c r="A56" s="120">
        <v>44995</v>
      </c>
      <c r="B56" s="121">
        <f>345.82+100.87</f>
        <v>446.69</v>
      </c>
      <c r="C56" s="122" t="s">
        <v>203</v>
      </c>
      <c r="D56" s="122" t="s">
        <v>179</v>
      </c>
      <c r="E56" s="123" t="s">
        <v>185</v>
      </c>
      <c r="F56" s="1"/>
    </row>
    <row r="57" spans="1:6" s="2" customFormat="1" x14ac:dyDescent="0.25">
      <c r="A57" s="120">
        <v>44995</v>
      </c>
      <c r="B57" s="121">
        <v>14</v>
      </c>
      <c r="C57" s="122" t="s">
        <v>203</v>
      </c>
      <c r="D57" s="122" t="s">
        <v>193</v>
      </c>
      <c r="E57" s="123" t="s">
        <v>185</v>
      </c>
      <c r="F57" s="1"/>
    </row>
    <row r="58" spans="1:6" s="2" customFormat="1" x14ac:dyDescent="0.25">
      <c r="A58" s="120">
        <v>44995</v>
      </c>
      <c r="B58" s="121">
        <v>200.87</v>
      </c>
      <c r="C58" s="122" t="s">
        <v>203</v>
      </c>
      <c r="D58" s="122" t="s">
        <v>180</v>
      </c>
      <c r="E58" s="123" t="s">
        <v>185</v>
      </c>
      <c r="F58" s="1"/>
    </row>
    <row r="59" spans="1:6" s="2" customFormat="1" x14ac:dyDescent="0.25">
      <c r="A59" s="120">
        <v>44995</v>
      </c>
      <c r="B59" s="121">
        <v>24.23</v>
      </c>
      <c r="C59" s="122" t="s">
        <v>203</v>
      </c>
      <c r="D59" s="122" t="s">
        <v>171</v>
      </c>
      <c r="E59" s="123" t="s">
        <v>185</v>
      </c>
      <c r="F59" s="1"/>
    </row>
    <row r="60" spans="1:6" s="2" customFormat="1" x14ac:dyDescent="0.25">
      <c r="A60" s="120">
        <v>45054</v>
      </c>
      <c r="B60" s="121">
        <v>293.14</v>
      </c>
      <c r="C60" s="122" t="s">
        <v>204</v>
      </c>
      <c r="D60" s="122" t="s">
        <v>179</v>
      </c>
      <c r="E60" s="123" t="s">
        <v>173</v>
      </c>
      <c r="F60" s="1"/>
    </row>
    <row r="61" spans="1:6" s="2" customFormat="1" x14ac:dyDescent="0.25">
      <c r="A61" s="120">
        <v>45054</v>
      </c>
      <c r="B61" s="121">
        <v>170.43</v>
      </c>
      <c r="C61" s="122" t="s">
        <v>204</v>
      </c>
      <c r="D61" s="122" t="s">
        <v>180</v>
      </c>
      <c r="E61" s="123" t="s">
        <v>173</v>
      </c>
      <c r="F61" s="1"/>
    </row>
    <row r="62" spans="1:6" s="2" customFormat="1" x14ac:dyDescent="0.25">
      <c r="A62" s="120">
        <v>45054</v>
      </c>
      <c r="B62" s="121">
        <v>40.17</v>
      </c>
      <c r="C62" s="122" t="s">
        <v>204</v>
      </c>
      <c r="D62" s="122" t="s">
        <v>171</v>
      </c>
      <c r="E62" s="123" t="s">
        <v>173</v>
      </c>
      <c r="F62" s="1"/>
    </row>
    <row r="63" spans="1:6" s="2" customFormat="1" x14ac:dyDescent="0.25">
      <c r="A63" s="120">
        <v>45054</v>
      </c>
      <c r="B63" s="121">
        <f>3.51+5</f>
        <v>8.51</v>
      </c>
      <c r="C63" s="122" t="s">
        <v>204</v>
      </c>
      <c r="D63" s="122" t="s">
        <v>193</v>
      </c>
      <c r="E63" s="123" t="s">
        <v>173</v>
      </c>
      <c r="F63" s="1"/>
    </row>
    <row r="64" spans="1:6" s="2" customFormat="1" x14ac:dyDescent="0.25">
      <c r="A64" s="120">
        <v>45056</v>
      </c>
      <c r="B64" s="121">
        <f>3.51+20+10</f>
        <v>33.51</v>
      </c>
      <c r="C64" s="122" t="s">
        <v>205</v>
      </c>
      <c r="D64" s="122" t="s">
        <v>193</v>
      </c>
      <c r="E64" s="123" t="s">
        <v>174</v>
      </c>
      <c r="F64" s="1"/>
    </row>
    <row r="65" spans="1:6" s="2" customFormat="1" x14ac:dyDescent="0.25">
      <c r="A65" s="120"/>
      <c r="B65" s="121"/>
      <c r="C65" s="122"/>
      <c r="D65" s="122"/>
      <c r="E65" s="123"/>
      <c r="F65" s="1"/>
    </row>
    <row r="66" spans="1:6" s="2" customFormat="1" x14ac:dyDescent="0.25">
      <c r="A66" s="120"/>
      <c r="B66" s="121"/>
      <c r="C66" s="122"/>
      <c r="D66" s="122"/>
      <c r="E66" s="123"/>
      <c r="F66" s="1"/>
    </row>
    <row r="67" spans="1:6" s="2" customFormat="1" x14ac:dyDescent="0.25">
      <c r="A67" s="110"/>
      <c r="B67" s="111"/>
      <c r="C67" s="112"/>
      <c r="D67" s="112"/>
      <c r="E67" s="113"/>
      <c r="F67" s="1"/>
    </row>
    <row r="68" spans="1:6" ht="19.5" customHeight="1" x14ac:dyDescent="0.25">
      <c r="A68" s="72" t="s">
        <v>125</v>
      </c>
      <c r="B68" s="73">
        <f>SUM(B26:B67)</f>
        <v>9164.18</v>
      </c>
      <c r="C68" s="131" t="str">
        <f>IF(SUBTOTAL(3,B26:B67)=SUBTOTAL(103,B26:B67),'Summary and sign-off CE'!$A$48,'Summary and sign-off CE'!$A$49)</f>
        <v>Check - there are no hidden rows with data</v>
      </c>
      <c r="D68" s="139" t="str">
        <f>IF('Summary and sign-off CE'!F56='Summary and sign-off CE'!F54,'Summary and sign-off CE'!A51,'Summary and sign-off CE'!A50)</f>
        <v>Check - each entry provides sufficient information</v>
      </c>
      <c r="E68" s="139"/>
      <c r="F68" s="17"/>
    </row>
    <row r="69" spans="1:6" ht="10.5" customHeight="1" x14ac:dyDescent="0.3">
      <c r="A69" s="17"/>
      <c r="B69" s="19"/>
      <c r="C69" s="17"/>
      <c r="D69" s="17"/>
      <c r="E69" s="17"/>
      <c r="F69" s="17"/>
    </row>
    <row r="70" spans="1:6" ht="24.75" customHeight="1" x14ac:dyDescent="0.25">
      <c r="A70" s="140" t="s">
        <v>126</v>
      </c>
      <c r="B70" s="140"/>
      <c r="C70" s="140"/>
      <c r="D70" s="140"/>
      <c r="E70" s="140"/>
      <c r="F70" s="17"/>
    </row>
    <row r="71" spans="1:6" ht="27" customHeight="1" x14ac:dyDescent="0.25">
      <c r="A71" s="24" t="s">
        <v>117</v>
      </c>
      <c r="B71" s="24" t="s">
        <v>62</v>
      </c>
      <c r="C71" s="24" t="s">
        <v>127</v>
      </c>
      <c r="D71" s="24" t="s">
        <v>128</v>
      </c>
      <c r="E71" s="24" t="s">
        <v>121</v>
      </c>
      <c r="F71" s="28"/>
    </row>
    <row r="72" spans="1:6" s="2" customFormat="1" hidden="1" x14ac:dyDescent="0.25">
      <c r="A72" s="96"/>
      <c r="B72" s="97"/>
      <c r="C72" s="98"/>
      <c r="D72" s="98"/>
      <c r="E72" s="99"/>
      <c r="F72" s="1"/>
    </row>
    <row r="73" spans="1:6" s="2" customFormat="1" x14ac:dyDescent="0.25">
      <c r="A73" s="120">
        <v>44809</v>
      </c>
      <c r="B73" s="121">
        <v>18.03</v>
      </c>
      <c r="C73" s="122" t="s">
        <v>201</v>
      </c>
      <c r="D73" s="122" t="s">
        <v>171</v>
      </c>
      <c r="E73" s="123" t="s">
        <v>172</v>
      </c>
      <c r="F73" s="1"/>
    </row>
    <row r="74" spans="1:6" s="2" customFormat="1" x14ac:dyDescent="0.25">
      <c r="A74" s="120">
        <v>44816</v>
      </c>
      <c r="B74" s="121">
        <v>35.61</v>
      </c>
      <c r="C74" s="122" t="s">
        <v>210</v>
      </c>
      <c r="D74" s="122" t="s">
        <v>171</v>
      </c>
      <c r="E74" s="123" t="s">
        <v>172</v>
      </c>
      <c r="F74" s="1"/>
    </row>
    <row r="75" spans="1:6" s="2" customFormat="1" x14ac:dyDescent="0.25">
      <c r="A75" s="120">
        <v>44819</v>
      </c>
      <c r="B75" s="121">
        <v>6.97</v>
      </c>
      <c r="C75" s="122" t="s">
        <v>211</v>
      </c>
      <c r="D75" s="122" t="s">
        <v>171</v>
      </c>
      <c r="E75" s="123" t="s">
        <v>172</v>
      </c>
      <c r="F75" s="1"/>
    </row>
    <row r="76" spans="1:6" s="2" customFormat="1" x14ac:dyDescent="0.25">
      <c r="A76" s="120">
        <v>44820</v>
      </c>
      <c r="B76" s="121">
        <f>6.72+7.2</f>
        <v>13.92</v>
      </c>
      <c r="C76" s="122" t="s">
        <v>206</v>
      </c>
      <c r="D76" s="122" t="s">
        <v>171</v>
      </c>
      <c r="E76" s="123" t="s">
        <v>172</v>
      </c>
      <c r="F76" s="1"/>
    </row>
    <row r="77" spans="1:6" s="2" customFormat="1" x14ac:dyDescent="0.25">
      <c r="A77" s="120">
        <v>44888</v>
      </c>
      <c r="B77" s="121">
        <v>6.63</v>
      </c>
      <c r="C77" s="122" t="s">
        <v>207</v>
      </c>
      <c r="D77" s="122" t="s">
        <v>171</v>
      </c>
      <c r="E77" s="123" t="s">
        <v>172</v>
      </c>
      <c r="F77" s="1"/>
    </row>
    <row r="78" spans="1:6" s="2" customFormat="1" x14ac:dyDescent="0.25">
      <c r="A78" s="120">
        <v>44903</v>
      </c>
      <c r="B78" s="121">
        <v>8.73</v>
      </c>
      <c r="C78" s="122" t="s">
        <v>208</v>
      </c>
      <c r="D78" s="122" t="s">
        <v>171</v>
      </c>
      <c r="E78" s="123" t="s">
        <v>172</v>
      </c>
      <c r="F78" s="1"/>
    </row>
    <row r="79" spans="1:6" s="2" customFormat="1" x14ac:dyDescent="0.25">
      <c r="A79" s="120">
        <v>44966</v>
      </c>
      <c r="B79" s="121">
        <v>10.7</v>
      </c>
      <c r="C79" s="122" t="s">
        <v>209</v>
      </c>
      <c r="D79" s="122" t="s">
        <v>171</v>
      </c>
      <c r="E79" s="123" t="s">
        <v>172</v>
      </c>
      <c r="F79" s="1"/>
    </row>
    <row r="80" spans="1:6" s="2" customFormat="1" x14ac:dyDescent="0.25">
      <c r="A80" s="120">
        <v>44998</v>
      </c>
      <c r="B80" s="121">
        <v>9.52</v>
      </c>
      <c r="C80" s="122" t="s">
        <v>219</v>
      </c>
      <c r="D80" s="122" t="s">
        <v>171</v>
      </c>
      <c r="E80" s="123" t="s">
        <v>172</v>
      </c>
      <c r="F80" s="1"/>
    </row>
    <row r="81" spans="1:6" s="2" customFormat="1" x14ac:dyDescent="0.25">
      <c r="A81" s="120">
        <v>45005</v>
      </c>
      <c r="B81" s="121">
        <v>22.26</v>
      </c>
      <c r="C81" s="122" t="s">
        <v>220</v>
      </c>
      <c r="D81" s="122" t="s">
        <v>171</v>
      </c>
      <c r="E81" s="123" t="s">
        <v>172</v>
      </c>
      <c r="F81" s="1"/>
    </row>
    <row r="82" spans="1:6" s="2" customFormat="1" x14ac:dyDescent="0.25">
      <c r="A82" s="120">
        <v>44998</v>
      </c>
      <c r="B82" s="121">
        <v>19.59</v>
      </c>
      <c r="C82" s="122" t="s">
        <v>221</v>
      </c>
      <c r="D82" s="122" t="s">
        <v>171</v>
      </c>
      <c r="E82" s="123" t="s">
        <v>172</v>
      </c>
      <c r="F82" s="1"/>
    </row>
    <row r="83" spans="1:6" s="2" customFormat="1" x14ac:dyDescent="0.25">
      <c r="A83" s="120"/>
      <c r="B83" s="121"/>
      <c r="C83" s="122"/>
      <c r="D83" s="122"/>
      <c r="E83" s="123"/>
      <c r="F83" s="1"/>
    </row>
    <row r="84" spans="1:6" s="2" customFormat="1" hidden="1" x14ac:dyDescent="0.25">
      <c r="A84" s="96"/>
      <c r="B84" s="97"/>
      <c r="C84" s="98"/>
      <c r="D84" s="98"/>
      <c r="E84" s="99"/>
      <c r="F84" s="1"/>
    </row>
    <row r="85" spans="1:6" ht="19.5" customHeight="1" x14ac:dyDescent="0.25">
      <c r="A85" s="72" t="s">
        <v>129</v>
      </c>
      <c r="B85" s="73">
        <f>SUM(B72:B84)</f>
        <v>151.96</v>
      </c>
      <c r="C85" s="131" t="str">
        <f>IF(SUBTOTAL(3,B72:B84)=SUBTOTAL(103,B72:B84),'Summary and sign-off CE'!$A$48,'Summary and sign-off CE'!$A$49)</f>
        <v>Check - there are no hidden rows with data</v>
      </c>
      <c r="D85" s="139" t="str">
        <f>IF('Summary and sign-off CE'!F57='Summary and sign-off CE'!F54,'Summary and sign-off CE'!A51,'Summary and sign-off CE'!A50)</f>
        <v>Check - each entry provides sufficient information</v>
      </c>
      <c r="E85" s="139"/>
      <c r="F85" s="17"/>
    </row>
    <row r="86" spans="1:6" ht="10.5" customHeight="1" x14ac:dyDescent="0.3">
      <c r="A86" s="17"/>
      <c r="B86" s="58"/>
      <c r="C86" s="19"/>
      <c r="D86" s="17"/>
      <c r="E86" s="17"/>
      <c r="F86" s="17"/>
    </row>
    <row r="87" spans="1:6" ht="34.5" customHeight="1" x14ac:dyDescent="0.25">
      <c r="A87" s="31" t="s">
        <v>130</v>
      </c>
      <c r="B87" s="59">
        <f>B22+B68+B85</f>
        <v>14812.56</v>
      </c>
      <c r="C87" s="32"/>
      <c r="D87" s="32"/>
      <c r="E87" s="32"/>
      <c r="F87" s="17"/>
    </row>
    <row r="88" spans="1:6" ht="13" x14ac:dyDescent="0.3">
      <c r="A88" s="17"/>
      <c r="B88" s="19"/>
      <c r="C88" s="17"/>
      <c r="D88" s="17"/>
      <c r="E88" s="17"/>
      <c r="F88" s="17"/>
    </row>
    <row r="89" spans="1:6" ht="13" x14ac:dyDescent="0.3">
      <c r="A89" s="18" t="s">
        <v>73</v>
      </c>
      <c r="B89" s="19"/>
      <c r="C89" s="17"/>
      <c r="D89" s="17"/>
      <c r="E89" s="17"/>
      <c r="F89" s="17"/>
    </row>
    <row r="90" spans="1:6" ht="12.65" customHeight="1" x14ac:dyDescent="0.25">
      <c r="A90" s="20" t="s">
        <v>131</v>
      </c>
      <c r="F90" s="17"/>
    </row>
    <row r="91" spans="1:6" ht="13" customHeight="1" x14ac:dyDescent="0.25">
      <c r="A91" s="20" t="s">
        <v>132</v>
      </c>
      <c r="B91" s="17"/>
      <c r="D91" s="17"/>
      <c r="F91" s="17"/>
    </row>
    <row r="92" spans="1:6" x14ac:dyDescent="0.25">
      <c r="A92" s="20" t="s">
        <v>133</v>
      </c>
      <c r="F92" s="17"/>
    </row>
    <row r="93" spans="1:6" ht="13" x14ac:dyDescent="0.3">
      <c r="A93" s="20" t="s">
        <v>79</v>
      </c>
      <c r="B93" s="19"/>
      <c r="C93" s="17"/>
      <c r="D93" s="17"/>
      <c r="E93" s="17"/>
      <c r="F93" s="17"/>
    </row>
    <row r="94" spans="1:6" ht="13" customHeight="1" x14ac:dyDescent="0.25">
      <c r="A94" s="20" t="s">
        <v>134</v>
      </c>
      <c r="B94" s="17"/>
      <c r="D94" s="17"/>
      <c r="F94" s="17"/>
    </row>
    <row r="95" spans="1:6" x14ac:dyDescent="0.25">
      <c r="A95" s="20" t="s">
        <v>135</v>
      </c>
      <c r="F95" s="17"/>
    </row>
    <row r="96" spans="1:6" x14ac:dyDescent="0.25">
      <c r="A96" s="20" t="s">
        <v>136</v>
      </c>
      <c r="B96" s="20"/>
      <c r="C96" s="20"/>
      <c r="D96" s="20"/>
      <c r="F96" s="17"/>
    </row>
    <row r="97" spans="1:6" x14ac:dyDescent="0.25">
      <c r="A97" s="26"/>
      <c r="B97" s="17"/>
      <c r="C97" s="17"/>
      <c r="D97" s="17"/>
      <c r="E97" s="17"/>
      <c r="F97" s="17"/>
    </row>
    <row r="98" spans="1:6" hidden="1" x14ac:dyDescent="0.25">
      <c r="A98" s="26"/>
      <c r="B98" s="17"/>
      <c r="C98" s="17"/>
      <c r="D98" s="17"/>
      <c r="E98" s="17"/>
      <c r="F98" s="17"/>
    </row>
    <row r="99" spans="1:6" x14ac:dyDescent="0.25"/>
    <row r="100" spans="1:6" x14ac:dyDescent="0.25"/>
    <row r="101" spans="1:6" x14ac:dyDescent="0.25"/>
    <row r="102" spans="1:6" x14ac:dyDescent="0.25"/>
    <row r="103" spans="1:6" ht="12.75" hidden="1" customHeight="1" x14ac:dyDescent="0.25"/>
    <row r="104" spans="1:6" x14ac:dyDescent="0.25"/>
    <row r="105" spans="1:6" x14ac:dyDescent="0.25"/>
    <row r="106" spans="1:6" hidden="1" x14ac:dyDescent="0.25">
      <c r="A106" s="26"/>
      <c r="B106" s="17"/>
      <c r="C106" s="17"/>
      <c r="D106" s="17"/>
      <c r="E106" s="17"/>
      <c r="F106" s="17"/>
    </row>
    <row r="107" spans="1:6" hidden="1" x14ac:dyDescent="0.25">
      <c r="A107" s="26"/>
      <c r="B107" s="17"/>
      <c r="C107" s="17"/>
      <c r="D107" s="17"/>
      <c r="E107" s="17"/>
      <c r="F107" s="17"/>
    </row>
    <row r="108" spans="1:6" hidden="1" x14ac:dyDescent="0.25">
      <c r="A108" s="26"/>
      <c r="B108" s="17"/>
      <c r="C108" s="17"/>
      <c r="D108" s="17"/>
      <c r="E108" s="17"/>
      <c r="F108" s="17"/>
    </row>
    <row r="109" spans="1:6" hidden="1" x14ac:dyDescent="0.25">
      <c r="A109" s="26"/>
      <c r="B109" s="17"/>
      <c r="C109" s="17"/>
      <c r="D109" s="17"/>
      <c r="E109" s="17"/>
      <c r="F109" s="17"/>
    </row>
    <row r="110" spans="1:6" hidden="1" x14ac:dyDescent="0.25">
      <c r="A110" s="26"/>
      <c r="B110" s="17"/>
      <c r="C110" s="17"/>
      <c r="D110" s="17"/>
      <c r="E110" s="17"/>
      <c r="F110" s="17"/>
    </row>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sheetData>
  <sheetProtection sheet="1" formatCells="0" formatRows="0" insertColumns="0" insertRows="0" deleteRows="0"/>
  <mergeCells count="15">
    <mergeCell ref="B7:E7"/>
    <mergeCell ref="B5:E5"/>
    <mergeCell ref="D85:E85"/>
    <mergeCell ref="A1:E1"/>
    <mergeCell ref="A24:E24"/>
    <mergeCell ref="A70:E70"/>
    <mergeCell ref="B2:E2"/>
    <mergeCell ref="B3:E3"/>
    <mergeCell ref="B4:E4"/>
    <mergeCell ref="A8:E8"/>
    <mergeCell ref="A9:E9"/>
    <mergeCell ref="B6:E6"/>
    <mergeCell ref="D22:E22"/>
    <mergeCell ref="D68:E68"/>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72 A84 A6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31 A73 A75:A79 A81:A83 A33:A66"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 CE'!$A$29:$A$30</xm:f>
          </x14:formula1>
          <xm:sqref>B7:E7</xm:sqref>
        </x14:dataValidation>
        <x14:dataValidation type="decimal" operator="greaterThan" allowBlank="1" showInputMessage="1" showErrorMessage="1" error="This cell must contain a dollar figure" xr:uid="{00000000-0002-0000-0200-000005000000}">
          <x14:formula1>
            <xm:f>'Summary and sign-off CE'!$A$47</xm:f>
          </x14:formula1>
          <xm:sqref>B12:B21 B72:B73 B75:B79 B81:B84 B26:B67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7"/>
  <sheetViews>
    <sheetView workbookViewId="0">
      <selection activeCell="C19" sqref="C19"/>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5" t="s">
        <v>109</v>
      </c>
      <c r="B1" s="135"/>
      <c r="C1" s="135"/>
      <c r="D1" s="135"/>
      <c r="E1" s="135"/>
    </row>
    <row r="2" spans="1:6" ht="21" customHeight="1" x14ac:dyDescent="0.25">
      <c r="A2" s="3" t="s">
        <v>52</v>
      </c>
      <c r="B2" s="138" t="str">
        <f>'Summary and sign-off CE'!B2:F2</f>
        <v>Museum of New Zealand Te Papa Tongarewa</v>
      </c>
      <c r="C2" s="138"/>
      <c r="D2" s="138"/>
      <c r="E2" s="138"/>
    </row>
    <row r="3" spans="1:6" ht="21" customHeight="1" x14ac:dyDescent="0.25">
      <c r="A3" s="3" t="s">
        <v>110</v>
      </c>
      <c r="B3" s="138" t="str">
        <f>'Summary and sign-off CE'!B3:F3</f>
        <v>Courtney Johnston</v>
      </c>
      <c r="C3" s="138"/>
      <c r="D3" s="138"/>
      <c r="E3" s="138"/>
    </row>
    <row r="4" spans="1:6" ht="21" customHeight="1" x14ac:dyDescent="0.25">
      <c r="A4" s="3" t="s">
        <v>111</v>
      </c>
      <c r="B4" s="138">
        <f>'Summary and sign-off CE'!B4:F4</f>
        <v>44743</v>
      </c>
      <c r="C4" s="138"/>
      <c r="D4" s="138"/>
      <c r="E4" s="138"/>
    </row>
    <row r="5" spans="1:6" ht="21" customHeight="1" x14ac:dyDescent="0.25">
      <c r="A5" s="3" t="s">
        <v>112</v>
      </c>
      <c r="B5" s="138">
        <f>'Summary and sign-off CE'!B5:F5</f>
        <v>45107</v>
      </c>
      <c r="C5" s="138"/>
      <c r="D5" s="138"/>
      <c r="E5" s="138"/>
    </row>
    <row r="6" spans="1:6" ht="21" customHeight="1" x14ac:dyDescent="0.25">
      <c r="A6" s="3" t="s">
        <v>113</v>
      </c>
      <c r="B6" s="133" t="s">
        <v>81</v>
      </c>
      <c r="C6" s="133"/>
      <c r="D6" s="133"/>
      <c r="E6" s="133"/>
    </row>
    <row r="7" spans="1:6" ht="21" customHeight="1" x14ac:dyDescent="0.25">
      <c r="A7" s="3" t="s">
        <v>56</v>
      </c>
      <c r="B7" s="133" t="s">
        <v>83</v>
      </c>
      <c r="C7" s="133"/>
      <c r="D7" s="133"/>
      <c r="E7" s="133"/>
    </row>
    <row r="8" spans="1:6" ht="35.25" customHeight="1" x14ac:dyDescent="0.35">
      <c r="A8" s="148" t="s">
        <v>137</v>
      </c>
      <c r="B8" s="148"/>
      <c r="C8" s="149"/>
      <c r="D8" s="149"/>
      <c r="E8" s="149"/>
      <c r="F8" s="27"/>
    </row>
    <row r="9" spans="1:6" ht="35.25" customHeight="1" x14ac:dyDescent="0.35">
      <c r="A9" s="146" t="s">
        <v>138</v>
      </c>
      <c r="B9" s="147"/>
      <c r="C9" s="147"/>
      <c r="D9" s="147"/>
      <c r="E9" s="147"/>
      <c r="F9" s="27"/>
    </row>
    <row r="10" spans="1:6" ht="27" customHeight="1" x14ac:dyDescent="0.25">
      <c r="A10" s="24" t="s">
        <v>139</v>
      </c>
      <c r="B10" s="24" t="s">
        <v>62</v>
      </c>
      <c r="C10" s="24" t="s">
        <v>140</v>
      </c>
      <c r="D10" s="24" t="s">
        <v>141</v>
      </c>
      <c r="E10" s="24" t="s">
        <v>121</v>
      </c>
      <c r="F10" s="20"/>
    </row>
    <row r="11" spans="1:6" s="2" customFormat="1" hidden="1" x14ac:dyDescent="0.25">
      <c r="A11" s="100"/>
      <c r="B11" s="97"/>
      <c r="C11" s="101"/>
      <c r="D11" s="101"/>
      <c r="E11" s="102"/>
    </row>
    <row r="12" spans="1:6" s="2" customFormat="1" x14ac:dyDescent="0.25">
      <c r="A12" s="120">
        <v>44768</v>
      </c>
      <c r="B12" s="121">
        <f>50.09+4.7</f>
        <v>54.790000000000006</v>
      </c>
      <c r="C12" s="125" t="s">
        <v>231</v>
      </c>
      <c r="D12" s="125" t="s">
        <v>232</v>
      </c>
      <c r="E12" s="126" t="s">
        <v>172</v>
      </c>
    </row>
    <row r="13" spans="1:6" s="2" customFormat="1" x14ac:dyDescent="0.25">
      <c r="A13" s="120">
        <v>44799</v>
      </c>
      <c r="B13" s="121">
        <v>178.7</v>
      </c>
      <c r="C13" s="125" t="s">
        <v>233</v>
      </c>
      <c r="D13" s="125" t="s">
        <v>260</v>
      </c>
      <c r="E13" s="126" t="s">
        <v>172</v>
      </c>
    </row>
    <row r="14" spans="1:6" s="2" customFormat="1" x14ac:dyDescent="0.25">
      <c r="A14" s="120">
        <v>45083</v>
      </c>
      <c r="B14" s="121">
        <v>64.17</v>
      </c>
      <c r="C14" s="125" t="s">
        <v>227</v>
      </c>
      <c r="D14" s="125" t="s">
        <v>228</v>
      </c>
      <c r="E14" s="126" t="s">
        <v>172</v>
      </c>
    </row>
    <row r="15" spans="1:6" s="2" customFormat="1" x14ac:dyDescent="0.25">
      <c r="A15" s="120">
        <v>45107</v>
      </c>
      <c r="B15" s="121">
        <v>340</v>
      </c>
      <c r="C15" s="125" t="s">
        <v>230</v>
      </c>
      <c r="D15" s="125" t="s">
        <v>229</v>
      </c>
      <c r="E15" s="126" t="s">
        <v>172</v>
      </c>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ht="11.25" hidden="1" customHeight="1" x14ac:dyDescent="0.25">
      <c r="A21" s="100"/>
      <c r="B21" s="97"/>
      <c r="C21" s="101"/>
      <c r="D21" s="101"/>
      <c r="E21" s="102"/>
    </row>
    <row r="22" spans="1:6" ht="34.5" customHeight="1" x14ac:dyDescent="0.25">
      <c r="A22" s="54" t="s">
        <v>142</v>
      </c>
      <c r="B22" s="63">
        <f>SUM(B11:B21)</f>
        <v>637.66000000000008</v>
      </c>
      <c r="C22" s="71" t="str">
        <f>IF(SUBTOTAL(3,B11:B21)=SUBTOTAL(103,B11:B21),'Summary and sign-off CE'!$A$48,'Summary and sign-off CE'!$A$49)</f>
        <v>Check - there are no hidden rows with data</v>
      </c>
      <c r="D22" s="139" t="str">
        <f>IF('Summary and sign-off CE'!F58='Summary and sign-off CE'!F54,'Summary and sign-off CE'!A51,'Summary and sign-off CE'!A50)</f>
        <v>Check - each entry provides sufficient information</v>
      </c>
      <c r="E22" s="139"/>
      <c r="F22" s="2"/>
    </row>
    <row r="23" spans="1:6" ht="13" x14ac:dyDescent="0.3">
      <c r="A23" s="18"/>
      <c r="B23" s="17"/>
      <c r="C23" s="17"/>
      <c r="D23" s="17"/>
      <c r="E23" s="17"/>
    </row>
    <row r="24" spans="1:6" ht="13" x14ac:dyDescent="0.3">
      <c r="A24" s="18" t="s">
        <v>73</v>
      </c>
      <c r="B24" s="19"/>
      <c r="C24" s="17"/>
      <c r="D24" s="17"/>
      <c r="E24" s="17"/>
    </row>
    <row r="25" spans="1:6" ht="12.75" customHeight="1" x14ac:dyDescent="0.25">
      <c r="A25" s="20" t="s">
        <v>143</v>
      </c>
      <c r="B25" s="20"/>
      <c r="C25" s="20"/>
      <c r="D25" s="20"/>
      <c r="E25" s="20"/>
    </row>
    <row r="26" spans="1:6" x14ac:dyDescent="0.25">
      <c r="A26" s="20" t="s">
        <v>144</v>
      </c>
      <c r="B26" s="20"/>
      <c r="C26" s="28"/>
      <c r="D26" s="28"/>
      <c r="E26" s="28"/>
    </row>
    <row r="27" spans="1:6" ht="13" x14ac:dyDescent="0.3">
      <c r="A27" s="20" t="s">
        <v>79</v>
      </c>
      <c r="B27" s="19"/>
      <c r="C27" s="17"/>
      <c r="D27" s="17"/>
      <c r="E27" s="17"/>
      <c r="F27" s="17"/>
    </row>
    <row r="28" spans="1:6" x14ac:dyDescent="0.25">
      <c r="A28" s="20" t="s">
        <v>145</v>
      </c>
      <c r="B28" s="20"/>
      <c r="C28" s="28"/>
      <c r="D28" s="28"/>
      <c r="E28" s="28"/>
    </row>
    <row r="29" spans="1:6" ht="12.75" customHeight="1" x14ac:dyDescent="0.25">
      <c r="A29" s="20" t="s">
        <v>146</v>
      </c>
      <c r="B29" s="20"/>
      <c r="C29" s="22"/>
      <c r="D29" s="22"/>
      <c r="E29" s="22"/>
    </row>
    <row r="30" spans="1:6" x14ac:dyDescent="0.25">
      <c r="A30" s="17"/>
      <c r="B30" s="17"/>
      <c r="C30" s="17"/>
      <c r="D30" s="17"/>
      <c r="E30" s="17"/>
    </row>
    <row r="31" spans="1:6" x14ac:dyDescent="0.25"/>
    <row r="32" spans="1:6" x14ac:dyDescent="0.25"/>
    <row r="34" x14ac:dyDescent="0.25"/>
    <row r="35"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 CE'!$A$29:$A$30</xm:f>
          </x14:formula1>
          <xm:sqref>B7:E7</xm:sqref>
        </x14:dataValidation>
        <x14:dataValidation type="decimal" operator="greaterThan" allowBlank="1" showInputMessage="1" showErrorMessage="1" error="This cell must contain a dollar figure" xr:uid="{00000000-0002-0000-0300-000005000000}">
          <x14:formula1>
            <xm:f>'Summary and sign-off CE'!$A$47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workbookViewId="0">
      <selection activeCell="C17" sqref="C1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5" t="s">
        <v>109</v>
      </c>
      <c r="B1" s="135"/>
      <c r="C1" s="135"/>
      <c r="D1" s="135"/>
      <c r="E1" s="135"/>
    </row>
    <row r="2" spans="1:6" ht="21" customHeight="1" x14ac:dyDescent="0.25">
      <c r="A2" s="3" t="s">
        <v>52</v>
      </c>
      <c r="B2" s="138" t="str">
        <f>'Summary and sign-off CE'!B2:F2</f>
        <v>Museum of New Zealand Te Papa Tongarewa</v>
      </c>
      <c r="C2" s="138"/>
      <c r="D2" s="138"/>
      <c r="E2" s="138"/>
    </row>
    <row r="3" spans="1:6" ht="21" customHeight="1" x14ac:dyDescent="0.25">
      <c r="A3" s="3" t="s">
        <v>110</v>
      </c>
      <c r="B3" s="138" t="str">
        <f>'Summary and sign-off CE'!B3:F3</f>
        <v>Courtney Johnston</v>
      </c>
      <c r="C3" s="138"/>
      <c r="D3" s="138"/>
      <c r="E3" s="138"/>
    </row>
    <row r="4" spans="1:6" ht="21" customHeight="1" x14ac:dyDescent="0.25">
      <c r="A4" s="3" t="s">
        <v>111</v>
      </c>
      <c r="B4" s="138">
        <f>'Summary and sign-off CE'!B4:F4</f>
        <v>44743</v>
      </c>
      <c r="C4" s="138"/>
      <c r="D4" s="138"/>
      <c r="E4" s="138"/>
    </row>
    <row r="5" spans="1:6" ht="21" customHeight="1" x14ac:dyDescent="0.25">
      <c r="A5" s="3" t="s">
        <v>112</v>
      </c>
      <c r="B5" s="138">
        <f>'Summary and sign-off CE'!B5:F5</f>
        <v>45107</v>
      </c>
      <c r="C5" s="138"/>
      <c r="D5" s="138"/>
      <c r="E5" s="138"/>
    </row>
    <row r="6" spans="1:6" ht="21" customHeight="1" x14ac:dyDescent="0.25">
      <c r="A6" s="3" t="s">
        <v>113</v>
      </c>
      <c r="B6" s="133" t="s">
        <v>81</v>
      </c>
      <c r="C6" s="133"/>
      <c r="D6" s="133"/>
      <c r="E6" s="133"/>
      <c r="F6" s="23"/>
    </row>
    <row r="7" spans="1:6" ht="21" customHeight="1" x14ac:dyDescent="0.25">
      <c r="A7" s="3" t="s">
        <v>56</v>
      </c>
      <c r="B7" s="133" t="s">
        <v>83</v>
      </c>
      <c r="C7" s="133"/>
      <c r="D7" s="133"/>
      <c r="E7" s="133"/>
      <c r="F7" s="23"/>
    </row>
    <row r="8" spans="1:6" ht="35.25" customHeight="1" x14ac:dyDescent="0.25">
      <c r="A8" s="142" t="s">
        <v>147</v>
      </c>
      <c r="B8" s="142"/>
      <c r="C8" s="149"/>
      <c r="D8" s="149"/>
      <c r="E8" s="149"/>
    </row>
    <row r="9" spans="1:6" ht="35.25" customHeight="1" x14ac:dyDescent="0.25">
      <c r="A9" s="150" t="s">
        <v>148</v>
      </c>
      <c r="B9" s="151"/>
      <c r="C9" s="151"/>
      <c r="D9" s="151"/>
      <c r="E9" s="151"/>
    </row>
    <row r="10" spans="1:6" ht="27" customHeight="1" x14ac:dyDescent="0.25">
      <c r="A10" s="24" t="s">
        <v>117</v>
      </c>
      <c r="B10" s="24" t="s">
        <v>62</v>
      </c>
      <c r="C10" s="24" t="s">
        <v>149</v>
      </c>
      <c r="D10" s="24" t="s">
        <v>150</v>
      </c>
      <c r="E10" s="24" t="s">
        <v>121</v>
      </c>
      <c r="F10" s="20"/>
    </row>
    <row r="11" spans="1:6" s="2" customFormat="1" hidden="1" x14ac:dyDescent="0.25">
      <c r="A11" s="100"/>
      <c r="B11" s="97"/>
      <c r="C11" s="101"/>
      <c r="D11" s="101"/>
      <c r="E11" s="102"/>
    </row>
    <row r="12" spans="1:6" s="2" customFormat="1" x14ac:dyDescent="0.25">
      <c r="A12" s="120">
        <v>45062</v>
      </c>
      <c r="B12" s="121">
        <v>1078.8699999999999</v>
      </c>
      <c r="C12" s="125" t="s">
        <v>224</v>
      </c>
      <c r="D12" s="125" t="s">
        <v>222</v>
      </c>
      <c r="E12" s="123" t="s">
        <v>217</v>
      </c>
    </row>
    <row r="13" spans="1:6" s="2" customFormat="1" x14ac:dyDescent="0.25">
      <c r="A13" s="120">
        <v>44981</v>
      </c>
      <c r="B13" s="121">
        <v>217.39</v>
      </c>
      <c r="C13" s="125" t="s">
        <v>226</v>
      </c>
      <c r="D13" s="125" t="s">
        <v>223</v>
      </c>
      <c r="E13" s="126" t="s">
        <v>172</v>
      </c>
    </row>
    <row r="14" spans="1:6" s="2" customFormat="1" x14ac:dyDescent="0.25">
      <c r="A14" s="120">
        <v>45000</v>
      </c>
      <c r="B14" s="121">
        <v>280</v>
      </c>
      <c r="C14" s="125" t="s">
        <v>225</v>
      </c>
      <c r="D14" s="125" t="s">
        <v>223</v>
      </c>
      <c r="E14" s="126" t="s">
        <v>172</v>
      </c>
    </row>
    <row r="15" spans="1:6" s="2" customFormat="1" x14ac:dyDescent="0.25">
      <c r="A15" s="120"/>
      <c r="B15" s="121"/>
      <c r="C15" s="125"/>
      <c r="D15" s="125"/>
      <c r="E15" s="126"/>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x14ac:dyDescent="0.25">
      <c r="A21" s="120"/>
      <c r="B21" s="121"/>
      <c r="C21" s="125"/>
      <c r="D21" s="125"/>
      <c r="E21" s="126"/>
    </row>
    <row r="22" spans="1:6" s="2" customFormat="1" x14ac:dyDescent="0.25">
      <c r="A22" s="124"/>
      <c r="B22" s="121"/>
      <c r="C22" s="125"/>
      <c r="D22" s="125"/>
      <c r="E22" s="126"/>
    </row>
    <row r="23" spans="1:6" s="2" customFormat="1" x14ac:dyDescent="0.25">
      <c r="A23" s="124"/>
      <c r="B23" s="121"/>
      <c r="C23" s="125"/>
      <c r="D23" s="125"/>
      <c r="E23" s="126"/>
    </row>
    <row r="24" spans="1:6" s="2" customFormat="1" hidden="1" x14ac:dyDescent="0.25">
      <c r="A24" s="100"/>
      <c r="B24" s="97"/>
      <c r="C24" s="101"/>
      <c r="D24" s="101"/>
      <c r="E24" s="102"/>
    </row>
    <row r="25" spans="1:6" ht="34.5" customHeight="1" x14ac:dyDescent="0.25">
      <c r="A25" s="54" t="s">
        <v>151</v>
      </c>
      <c r="B25" s="63">
        <f>SUM(B11:B24)</f>
        <v>1576.2599999999998</v>
      </c>
      <c r="C25" s="71" t="str">
        <f>IF(SUBTOTAL(3,B11:B24)=SUBTOTAL(103,B11:B24),'Summary and sign-off CE'!$A$48,'Summary and sign-off CE'!$A$49)</f>
        <v>Check - there are no hidden rows with data</v>
      </c>
      <c r="D25" s="139" t="str">
        <f>IF('Summary and sign-off CE'!F59='Summary and sign-off CE'!F54,'Summary and sign-off CE'!A51,'Summary and sign-off CE'!A50)</f>
        <v>Check - each entry provides sufficient information</v>
      </c>
      <c r="E25" s="139"/>
    </row>
    <row r="26" spans="1:6" ht="14.15" customHeight="1" x14ac:dyDescent="0.25">
      <c r="B26" s="17"/>
      <c r="C26" s="17"/>
      <c r="D26" s="17"/>
      <c r="E26" s="17"/>
    </row>
    <row r="27" spans="1:6" ht="13" x14ac:dyDescent="0.3">
      <c r="A27" s="18" t="s">
        <v>152</v>
      </c>
      <c r="B27" s="17"/>
      <c r="C27" s="17"/>
      <c r="D27" s="17"/>
      <c r="E27" s="17"/>
    </row>
    <row r="28" spans="1:6" ht="12.65" customHeight="1" x14ac:dyDescent="0.25">
      <c r="A28" s="20" t="s">
        <v>131</v>
      </c>
      <c r="B28" s="17"/>
      <c r="C28" s="17"/>
      <c r="D28" s="17"/>
      <c r="E28" s="17"/>
    </row>
    <row r="29" spans="1:6" ht="13" x14ac:dyDescent="0.3">
      <c r="A29" s="20" t="s">
        <v>79</v>
      </c>
      <c r="B29" s="19"/>
      <c r="C29" s="17"/>
      <c r="D29" s="17"/>
      <c r="E29" s="17"/>
      <c r="F29" s="17"/>
    </row>
    <row r="30" spans="1:6" x14ac:dyDescent="0.25">
      <c r="A30" s="20" t="s">
        <v>145</v>
      </c>
      <c r="C30" s="17"/>
      <c r="D30" s="17"/>
      <c r="E30" s="17"/>
      <c r="F30" s="17"/>
    </row>
    <row r="31" spans="1:6" ht="12.75" customHeight="1" x14ac:dyDescent="0.25">
      <c r="A31" s="20" t="s">
        <v>146</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 CE'!$A$29:$A$30</xm:f>
          </x14:formula1>
          <xm:sqref>B7:E7</xm:sqref>
        </x14:dataValidation>
        <x14:dataValidation type="decimal" operator="greaterThan" allowBlank="1" showInputMessage="1" showErrorMessage="1" error="This cell must contain a dollar figure" xr:uid="{00000000-0002-0000-0400-000005000000}">
          <x14:formula1>
            <xm:f>'Summary and sign-off CE'!$A$47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8"/>
  <sheetViews>
    <sheetView workbookViewId="0">
      <selection activeCell="C21" sqref="C21"/>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5" t="s">
        <v>153</v>
      </c>
      <c r="B1" s="135"/>
      <c r="C1" s="135"/>
      <c r="D1" s="135"/>
      <c r="E1" s="135"/>
      <c r="F1" s="135"/>
    </row>
    <row r="2" spans="1:6" ht="21" customHeight="1" x14ac:dyDescent="0.25">
      <c r="A2" s="3" t="s">
        <v>52</v>
      </c>
      <c r="B2" s="138" t="str">
        <f>'Summary and sign-off CE'!B2:F2</f>
        <v>Museum of New Zealand Te Papa Tongarewa</v>
      </c>
      <c r="C2" s="138"/>
      <c r="D2" s="138"/>
      <c r="E2" s="138"/>
      <c r="F2" s="138"/>
    </row>
    <row r="3" spans="1:6" ht="21" customHeight="1" x14ac:dyDescent="0.25">
      <c r="A3" s="3" t="s">
        <v>110</v>
      </c>
      <c r="B3" s="138" t="str">
        <f>'Summary and sign-off CE'!B3:F3</f>
        <v>Courtney Johnston</v>
      </c>
      <c r="C3" s="138"/>
      <c r="D3" s="138"/>
      <c r="E3" s="138"/>
      <c r="F3" s="138"/>
    </row>
    <row r="4" spans="1:6" ht="21" customHeight="1" x14ac:dyDescent="0.25">
      <c r="A4" s="3" t="s">
        <v>111</v>
      </c>
      <c r="B4" s="138">
        <f>'Summary and sign-off CE'!B4:F4</f>
        <v>44743</v>
      </c>
      <c r="C4" s="138"/>
      <c r="D4" s="138"/>
      <c r="E4" s="138"/>
      <c r="F4" s="138"/>
    </row>
    <row r="5" spans="1:6" ht="21" customHeight="1" x14ac:dyDescent="0.25">
      <c r="A5" s="3" t="s">
        <v>112</v>
      </c>
      <c r="B5" s="138">
        <f>'Summary and sign-off CE'!B5:F5</f>
        <v>45107</v>
      </c>
      <c r="C5" s="138"/>
      <c r="D5" s="138"/>
      <c r="E5" s="138"/>
      <c r="F5" s="138"/>
    </row>
    <row r="6" spans="1:6" ht="21" customHeight="1" x14ac:dyDescent="0.25">
      <c r="A6" s="3" t="s">
        <v>154</v>
      </c>
      <c r="B6" s="133" t="s">
        <v>80</v>
      </c>
      <c r="C6" s="133"/>
      <c r="D6" s="133"/>
      <c r="E6" s="133"/>
      <c r="F6" s="133"/>
    </row>
    <row r="7" spans="1:6" ht="21" customHeight="1" x14ac:dyDescent="0.25">
      <c r="A7" s="3" t="s">
        <v>56</v>
      </c>
      <c r="B7" s="133" t="s">
        <v>83</v>
      </c>
      <c r="C7" s="133"/>
      <c r="D7" s="133"/>
      <c r="E7" s="133"/>
      <c r="F7" s="133"/>
    </row>
    <row r="8" spans="1:6" ht="36" customHeight="1" x14ac:dyDescent="0.25">
      <c r="A8" s="142" t="s">
        <v>155</v>
      </c>
      <c r="B8" s="142"/>
      <c r="C8" s="142"/>
      <c r="D8" s="142"/>
      <c r="E8" s="142"/>
      <c r="F8" s="142"/>
    </row>
    <row r="9" spans="1:6" ht="36" customHeight="1" x14ac:dyDescent="0.25">
      <c r="A9" s="150" t="s">
        <v>156</v>
      </c>
      <c r="B9" s="151"/>
      <c r="C9" s="151"/>
      <c r="D9" s="151"/>
      <c r="E9" s="151"/>
      <c r="F9" s="151"/>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2" customFormat="1" ht="25" x14ac:dyDescent="0.25">
      <c r="A12" s="120">
        <v>44746</v>
      </c>
      <c r="B12" s="127" t="s">
        <v>234</v>
      </c>
      <c r="C12" s="128" t="s">
        <v>96</v>
      </c>
      <c r="D12" s="127" t="s">
        <v>235</v>
      </c>
      <c r="E12" s="129">
        <v>50</v>
      </c>
      <c r="F12" s="130" t="s">
        <v>236</v>
      </c>
    </row>
    <row r="13" spans="1:6" s="2" customFormat="1" ht="25" x14ac:dyDescent="0.25">
      <c r="A13" s="120">
        <v>44837</v>
      </c>
      <c r="B13" s="127" t="s">
        <v>237</v>
      </c>
      <c r="C13" s="128" t="s">
        <v>96</v>
      </c>
      <c r="D13" s="127" t="s">
        <v>238</v>
      </c>
      <c r="E13" s="129" t="s">
        <v>239</v>
      </c>
      <c r="F13" s="130"/>
    </row>
    <row r="14" spans="1:6" s="2" customFormat="1" x14ac:dyDescent="0.25">
      <c r="A14" s="120">
        <v>44909</v>
      </c>
      <c r="B14" s="127" t="s">
        <v>240</v>
      </c>
      <c r="C14" s="128" t="s">
        <v>96</v>
      </c>
      <c r="D14" s="127" t="s">
        <v>183</v>
      </c>
      <c r="E14" s="129">
        <v>100</v>
      </c>
      <c r="F14" s="130"/>
    </row>
    <row r="15" spans="1:6" s="2" customFormat="1" x14ac:dyDescent="0.25">
      <c r="A15" s="120">
        <v>44917</v>
      </c>
      <c r="B15" s="127" t="s">
        <v>241</v>
      </c>
      <c r="C15" s="128" t="s">
        <v>96</v>
      </c>
      <c r="D15" s="127" t="s">
        <v>242</v>
      </c>
      <c r="E15" s="129">
        <v>120</v>
      </c>
      <c r="F15" s="130"/>
    </row>
    <row r="16" spans="1:6" s="2" customFormat="1" x14ac:dyDescent="0.25">
      <c r="A16" s="120">
        <v>44998</v>
      </c>
      <c r="B16" s="127" t="s">
        <v>243</v>
      </c>
      <c r="C16" s="128" t="s">
        <v>96</v>
      </c>
      <c r="D16" s="127" t="s">
        <v>244</v>
      </c>
      <c r="E16" s="129">
        <v>200</v>
      </c>
      <c r="F16" s="130"/>
    </row>
    <row r="17" spans="1:7" s="2" customFormat="1" x14ac:dyDescent="0.25">
      <c r="A17" s="120"/>
      <c r="B17" s="127"/>
      <c r="C17" s="128"/>
      <c r="D17" s="127"/>
      <c r="E17" s="129"/>
      <c r="F17" s="130"/>
    </row>
    <row r="18" spans="1:7" s="2" customFormat="1" x14ac:dyDescent="0.25">
      <c r="A18" s="120"/>
      <c r="B18" s="127"/>
      <c r="C18" s="128"/>
      <c r="D18" s="127"/>
      <c r="E18" s="129"/>
      <c r="F18" s="130"/>
    </row>
    <row r="19" spans="1:7" s="2" customFormat="1" x14ac:dyDescent="0.25">
      <c r="A19" s="120"/>
      <c r="B19" s="127"/>
      <c r="C19" s="128"/>
      <c r="D19" s="127"/>
      <c r="E19" s="129"/>
      <c r="F19" s="130"/>
    </row>
    <row r="20" spans="1:7" s="2" customFormat="1" x14ac:dyDescent="0.25">
      <c r="A20" s="120"/>
      <c r="B20" s="127"/>
      <c r="C20" s="128"/>
      <c r="D20" s="127"/>
      <c r="E20" s="129"/>
      <c r="F20" s="130"/>
    </row>
    <row r="21" spans="1:7" s="2" customFormat="1" x14ac:dyDescent="0.25">
      <c r="A21" s="120"/>
      <c r="B21" s="127"/>
      <c r="C21" s="128"/>
      <c r="D21" s="127"/>
      <c r="E21" s="129"/>
      <c r="F21" s="130"/>
    </row>
    <row r="22" spans="1:7" s="2" customFormat="1" x14ac:dyDescent="0.25">
      <c r="A22" s="120"/>
      <c r="B22" s="127"/>
      <c r="C22" s="128"/>
      <c r="D22" s="127"/>
      <c r="E22" s="129"/>
      <c r="F22" s="130"/>
    </row>
    <row r="23" spans="1:7" s="2" customFormat="1" x14ac:dyDescent="0.25">
      <c r="A23" s="120"/>
      <c r="B23" s="127"/>
      <c r="C23" s="128"/>
      <c r="D23" s="127"/>
      <c r="E23" s="129"/>
      <c r="F23" s="130"/>
    </row>
    <row r="24" spans="1:7" s="2" customFormat="1" x14ac:dyDescent="0.25">
      <c r="A24" s="120"/>
      <c r="B24" s="127"/>
      <c r="C24" s="128"/>
      <c r="D24" s="127"/>
      <c r="E24" s="129"/>
      <c r="F24" s="130"/>
    </row>
    <row r="25" spans="1:7" s="2" customFormat="1" hidden="1" x14ac:dyDescent="0.25">
      <c r="A25" s="96"/>
      <c r="B25" s="101"/>
      <c r="C25" s="103"/>
      <c r="D25" s="101"/>
      <c r="E25" s="104"/>
      <c r="F25" s="102"/>
    </row>
    <row r="26" spans="1:7" ht="34.5" customHeight="1" x14ac:dyDescent="0.25">
      <c r="A26" s="115" t="s">
        <v>162</v>
      </c>
      <c r="B26" s="116" t="s">
        <v>163</v>
      </c>
      <c r="C26" s="117">
        <f>C27+C28</f>
        <v>5</v>
      </c>
      <c r="D26" s="118" t="str">
        <f>IF(SUBTOTAL(3,C11:C25)=SUBTOTAL(103,C11:C25),'Summary and sign-off CE'!$A$48,'Summary and sign-off CE'!$A$49)</f>
        <v>Check - there are no hidden rows with data</v>
      </c>
      <c r="E26" s="139" t="str">
        <f>IF('Summary and sign-off CE'!F60='Summary and sign-off CE'!F54,'Summary and sign-off CE'!A52,'Summary and sign-off CE'!A50)</f>
        <v>Check - each entry provides sufficient information</v>
      </c>
      <c r="F26" s="139"/>
      <c r="G26" s="2"/>
    </row>
    <row r="27" spans="1:7" ht="25.5" customHeight="1" x14ac:dyDescent="0.35">
      <c r="A27" s="55"/>
      <c r="B27" s="56" t="s">
        <v>96</v>
      </c>
      <c r="C27" s="57">
        <f>COUNTIF(C11:C25,'Summary and sign-off CE'!A45)</f>
        <v>5</v>
      </c>
      <c r="D27" s="14"/>
      <c r="E27" s="15"/>
      <c r="F27" s="16"/>
    </row>
    <row r="28" spans="1:7" ht="25.5" customHeight="1" x14ac:dyDescent="0.35">
      <c r="A28" s="55"/>
      <c r="B28" s="56" t="s">
        <v>97</v>
      </c>
      <c r="C28" s="57">
        <f>COUNTIF(C11:C25,'Summary and sign-off CE'!A46)</f>
        <v>0</v>
      </c>
      <c r="D28" s="14"/>
      <c r="E28" s="15"/>
      <c r="F28" s="16"/>
    </row>
    <row r="29" spans="1:7" ht="13" x14ac:dyDescent="0.3">
      <c r="A29" s="17"/>
      <c r="B29" s="18"/>
      <c r="C29" s="17"/>
      <c r="D29" s="19"/>
      <c r="E29" s="19"/>
      <c r="F29" s="17"/>
    </row>
    <row r="30" spans="1:7" ht="13" x14ac:dyDescent="0.3">
      <c r="A30" s="18" t="s">
        <v>152</v>
      </c>
      <c r="B30" s="18"/>
      <c r="C30" s="18"/>
      <c r="D30" s="18"/>
      <c r="E30" s="18"/>
      <c r="F30" s="18"/>
    </row>
    <row r="31" spans="1:7" ht="12.65" customHeight="1" x14ac:dyDescent="0.25">
      <c r="A31" s="20" t="s">
        <v>131</v>
      </c>
      <c r="B31" s="17"/>
      <c r="C31" s="17"/>
      <c r="D31" s="17"/>
      <c r="E31" s="17"/>
    </row>
    <row r="32" spans="1:7" ht="13" x14ac:dyDescent="0.3">
      <c r="A32" s="20" t="s">
        <v>79</v>
      </c>
      <c r="B32" s="19"/>
      <c r="C32" s="17"/>
      <c r="D32" s="17"/>
      <c r="E32" s="17"/>
      <c r="F32" s="17"/>
    </row>
    <row r="33" spans="1:6" ht="13" x14ac:dyDescent="0.3">
      <c r="A33" s="20" t="s">
        <v>164</v>
      </c>
      <c r="B33" s="21"/>
      <c r="C33" s="21"/>
      <c r="D33" s="21"/>
      <c r="E33" s="21"/>
      <c r="F33" s="21"/>
    </row>
    <row r="34" spans="1:6" ht="12.75" customHeight="1" x14ac:dyDescent="0.25">
      <c r="A34" s="20" t="s">
        <v>165</v>
      </c>
      <c r="B34" s="17"/>
      <c r="C34" s="17"/>
      <c r="D34" s="17"/>
      <c r="E34" s="17"/>
      <c r="F34" s="17"/>
    </row>
    <row r="35" spans="1:6" ht="13" customHeight="1" x14ac:dyDescent="0.25">
      <c r="A35" s="20" t="s">
        <v>166</v>
      </c>
      <c r="B35" s="17"/>
      <c r="C35" s="17"/>
      <c r="D35" s="17"/>
      <c r="E35" s="17"/>
      <c r="F35" s="17"/>
    </row>
    <row r="36" spans="1:6" x14ac:dyDescent="0.25">
      <c r="A36" s="20" t="s">
        <v>167</v>
      </c>
      <c r="C36" s="17"/>
      <c r="D36" s="17"/>
      <c r="E36" s="17"/>
      <c r="F36" s="17"/>
    </row>
    <row r="37" spans="1:6" ht="12.75" customHeight="1" x14ac:dyDescent="0.25">
      <c r="A37" s="20" t="s">
        <v>146</v>
      </c>
      <c r="B37" s="20"/>
      <c r="C37" s="22"/>
      <c r="D37" s="22"/>
      <c r="E37" s="22"/>
      <c r="F37" s="22"/>
    </row>
    <row r="38" spans="1:6" ht="12.75" customHeight="1" x14ac:dyDescent="0.25">
      <c r="A38" s="20"/>
      <c r="B38" s="20"/>
      <c r="C38" s="22"/>
      <c r="D38" s="22"/>
      <c r="E38" s="22"/>
      <c r="F38" s="22"/>
    </row>
    <row r="39" spans="1:6" ht="12.75" hidden="1" customHeight="1" x14ac:dyDescent="0.25">
      <c r="A39" s="20"/>
      <c r="B39" s="20"/>
      <c r="C39" s="22"/>
      <c r="D39" s="22"/>
      <c r="E39" s="22"/>
      <c r="F39" s="22"/>
    </row>
    <row r="40" spans="1:6" x14ac:dyDescent="0.25"/>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row r="46" spans="1:6" ht="13" hidden="1" x14ac:dyDescent="0.3">
      <c r="A46" s="18"/>
      <c r="B46" s="18"/>
      <c r="C46" s="18"/>
      <c r="D46" s="18"/>
      <c r="E46" s="18"/>
      <c r="F46" s="18"/>
    </row>
    <row r="48" spans="1:6" x14ac:dyDescent="0.25"/>
    <row r="49" x14ac:dyDescent="0.25"/>
    <row r="50" x14ac:dyDescent="0.25"/>
    <row r="51" x14ac:dyDescent="0.25"/>
    <row r="52" x14ac:dyDescent="0.25"/>
    <row r="53" x14ac:dyDescent="0.25"/>
    <row r="54" x14ac:dyDescent="0.25"/>
    <row r="55" x14ac:dyDescent="0.25"/>
    <row r="65" x14ac:dyDescent="0.25"/>
    <row r="66" x14ac:dyDescent="0.25"/>
    <row r="67" x14ac:dyDescent="0.25"/>
    <row r="68" x14ac:dyDescent="0.25"/>
    <row r="69" x14ac:dyDescent="0.25"/>
    <row r="70" x14ac:dyDescent="0.25"/>
    <row r="71" x14ac:dyDescent="0.25"/>
    <row r="72" x14ac:dyDescent="0.25"/>
    <row r="76" x14ac:dyDescent="0.25"/>
    <row r="77" x14ac:dyDescent="0.25"/>
    <row r="78" x14ac:dyDescent="0.25"/>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 CE'!$A$29:$A$30</xm:f>
          </x14:formula1>
          <xm:sqref>B7:F7</xm:sqref>
        </x14:dataValidation>
        <x14:dataValidation type="list" allowBlank="1" showInputMessage="1" showErrorMessage="1" error="Use the drop down list (at the right of the cell)" xr:uid="{00000000-0002-0000-0500-000005000000}">
          <x14:formula1>
            <xm:f>'Summary and sign-off CE'!$A$45:$A$46</xm:f>
          </x14:formula1>
          <xm:sqref>C11:C25</xm:sqref>
        </x14:dataValidation>
        <x14:dataValidation type="list" errorStyle="information" operator="greaterThan" allowBlank="1" showInputMessage="1" prompt="Provide specific $ value if possible" xr:uid="{00000000-0002-0000-0500-000006000000}">
          <x14:formula1>
            <xm:f>'Summary and sign-off CE'!$A$39:$A$44</xm:f>
          </x14:formula1>
          <xm:sqref>E11:E25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K61"/>
  <sheetViews>
    <sheetView workbookViewId="0">
      <selection sqref="A1:F1"/>
    </sheetView>
  </sheetViews>
  <sheetFormatPr defaultColWidth="0" defaultRowHeight="12.75" customHeight="1"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169</v>
      </c>
      <c r="C2" s="136"/>
      <c r="D2" s="136"/>
      <c r="E2" s="136"/>
      <c r="F2" s="136"/>
      <c r="G2" s="17"/>
      <c r="H2" s="17"/>
      <c r="I2" s="17"/>
      <c r="J2" s="17"/>
      <c r="K2" s="17"/>
    </row>
    <row r="3" spans="1:11" ht="21" customHeight="1" x14ac:dyDescent="0.25">
      <c r="A3" s="3" t="s">
        <v>176</v>
      </c>
      <c r="B3" s="136" t="s">
        <v>177</v>
      </c>
      <c r="C3" s="136"/>
      <c r="D3" s="136"/>
      <c r="E3" s="136"/>
      <c r="F3" s="136"/>
      <c r="G3" s="17"/>
      <c r="H3" s="17"/>
      <c r="I3" s="17"/>
      <c r="J3" s="17"/>
      <c r="K3" s="17"/>
    </row>
    <row r="4" spans="1:11" ht="21" customHeight="1" x14ac:dyDescent="0.25">
      <c r="A4" s="3" t="s">
        <v>54</v>
      </c>
      <c r="B4" s="137">
        <v>44743</v>
      </c>
      <c r="C4" s="137"/>
      <c r="D4" s="137"/>
      <c r="E4" s="137"/>
      <c r="F4" s="137"/>
      <c r="G4" s="17"/>
      <c r="H4" s="17"/>
      <c r="I4" s="17"/>
      <c r="J4" s="17"/>
      <c r="K4" s="17"/>
    </row>
    <row r="5" spans="1:11" ht="21" customHeight="1" x14ac:dyDescent="0.25">
      <c r="A5" s="3" t="s">
        <v>55</v>
      </c>
      <c r="B5" s="137">
        <v>45107</v>
      </c>
      <c r="C5" s="137"/>
      <c r="D5" s="137"/>
      <c r="E5" s="137"/>
      <c r="F5" s="137"/>
      <c r="G5" s="17"/>
      <c r="H5" s="17"/>
      <c r="I5" s="17"/>
      <c r="J5" s="17"/>
      <c r="K5" s="17"/>
    </row>
    <row r="6" spans="1:11" ht="21" customHeight="1" x14ac:dyDescent="0.25">
      <c r="A6" s="3" t="s">
        <v>56</v>
      </c>
      <c r="B6" s="134"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34"/>
      <c r="D6" s="134"/>
      <c r="E6" s="134"/>
      <c r="F6" s="134"/>
      <c r="G6" s="23"/>
      <c r="H6" s="17"/>
      <c r="I6" s="17"/>
      <c r="J6" s="17"/>
      <c r="K6" s="17"/>
    </row>
    <row r="7" spans="1:11" ht="21" customHeight="1" x14ac:dyDescent="0.25">
      <c r="A7" s="3" t="s">
        <v>57</v>
      </c>
      <c r="B7" s="133" t="s">
        <v>89</v>
      </c>
      <c r="C7" s="133"/>
      <c r="D7" s="133"/>
      <c r="E7" s="133"/>
      <c r="F7" s="133"/>
      <c r="G7" s="23"/>
      <c r="H7" s="17"/>
      <c r="I7" s="17"/>
      <c r="J7" s="17"/>
      <c r="K7" s="17"/>
    </row>
    <row r="8" spans="1:11" ht="21" customHeight="1" x14ac:dyDescent="0.25">
      <c r="A8" s="3" t="s">
        <v>59</v>
      </c>
      <c r="B8" s="133" t="s">
        <v>178</v>
      </c>
      <c r="C8" s="133"/>
      <c r="D8" s="133"/>
      <c r="E8" s="133"/>
      <c r="F8" s="133"/>
      <c r="G8" s="23"/>
      <c r="H8" s="17"/>
      <c r="I8" s="17"/>
      <c r="J8" s="17"/>
      <c r="K8" s="17"/>
    </row>
    <row r="9" spans="1:11" ht="66.75" customHeight="1" x14ac:dyDescent="0.25">
      <c r="A9" s="132" t="s">
        <v>60</v>
      </c>
      <c r="B9" s="132"/>
      <c r="C9" s="132"/>
      <c r="D9" s="132"/>
      <c r="E9" s="132"/>
      <c r="F9" s="132"/>
      <c r="G9" s="23"/>
      <c r="H9" s="17"/>
      <c r="I9" s="17"/>
      <c r="J9" s="17"/>
      <c r="K9" s="17"/>
    </row>
    <row r="10" spans="1:11" s="94" customFormat="1" ht="36" customHeight="1" x14ac:dyDescent="0.3">
      <c r="A10" s="88" t="s">
        <v>61</v>
      </c>
      <c r="B10" s="89" t="s">
        <v>62</v>
      </c>
      <c r="C10" s="89" t="s">
        <v>63</v>
      </c>
      <c r="D10" s="90"/>
      <c r="E10" s="91" t="s">
        <v>29</v>
      </c>
      <c r="F10" s="92" t="s">
        <v>64</v>
      </c>
      <c r="G10" s="93"/>
      <c r="H10" s="93"/>
      <c r="I10" s="93"/>
      <c r="J10" s="93"/>
      <c r="K10" s="93"/>
    </row>
    <row r="11" spans="1:11" ht="27.75" customHeight="1" x14ac:dyDescent="0.35">
      <c r="A11" s="8" t="s">
        <v>65</v>
      </c>
      <c r="B11" s="60">
        <f>B15+B16+B17</f>
        <v>21671.510000000002</v>
      </c>
      <c r="C11" s="67" t="str">
        <f>IF('Travel - Kaihautu'!B6="",A34,'Travel - Kaihautu'!B6)</f>
        <v>Figures exclude GST</v>
      </c>
      <c r="D11" s="6"/>
      <c r="E11" s="8" t="s">
        <v>66</v>
      </c>
      <c r="F11" s="33">
        <f>'Gifts and benefits - Kaihautu'!C20</f>
        <v>5</v>
      </c>
      <c r="G11" s="29"/>
      <c r="H11" s="29"/>
      <c r="I11" s="29"/>
      <c r="J11" s="29"/>
      <c r="K11" s="29"/>
    </row>
    <row r="12" spans="1:11" ht="27.75" customHeight="1" x14ac:dyDescent="0.35">
      <c r="A12" s="8" t="s">
        <v>24</v>
      </c>
      <c r="B12" s="60">
        <f>'Hospitality - Kaihautu'!B26</f>
        <v>144.21</v>
      </c>
      <c r="C12" s="67" t="str">
        <f>IF('Hospitality - Kaihautu'!B6="",A34,'Hospitality - Kaihautu'!B6)</f>
        <v>Figures exclude GST</v>
      </c>
      <c r="D12" s="6"/>
      <c r="E12" s="8" t="s">
        <v>67</v>
      </c>
      <c r="F12" s="33">
        <f>'Gifts and benefits - Kaihautu'!C21</f>
        <v>5</v>
      </c>
      <c r="G12" s="29"/>
      <c r="H12" s="29"/>
      <c r="I12" s="29"/>
      <c r="J12" s="29"/>
      <c r="K12" s="29"/>
    </row>
    <row r="13" spans="1:11" ht="27.75" customHeight="1" x14ac:dyDescent="0.25">
      <c r="A13" s="8" t="s">
        <v>68</v>
      </c>
      <c r="B13" s="60">
        <f>'All other expenses - Kaihautu'!B34</f>
        <v>2317.66</v>
      </c>
      <c r="C13" s="67" t="str">
        <f>IF('All other expenses - Kaihautu'!B6="",A34,'All other expenses - Kaihautu'!B6)</f>
        <v>Figures exclude GST</v>
      </c>
      <c r="D13" s="6"/>
      <c r="E13" s="8" t="s">
        <v>69</v>
      </c>
      <c r="F13" s="33">
        <f>'Gifts and benefits - Kaihautu'!C22</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 - Kaihautu'!B18</f>
        <v>12060.95</v>
      </c>
      <c r="C15" s="69" t="str">
        <f>C11</f>
        <v>Figures exclude GST</v>
      </c>
      <c r="D15" s="6"/>
      <c r="E15" s="6"/>
      <c r="F15" s="35"/>
      <c r="G15" s="17"/>
      <c r="H15" s="17"/>
      <c r="I15" s="17"/>
      <c r="J15" s="17"/>
      <c r="K15" s="17"/>
    </row>
    <row r="16" spans="1:11" ht="27.75" customHeight="1" x14ac:dyDescent="0.25">
      <c r="A16" s="9" t="s">
        <v>71</v>
      </c>
      <c r="B16" s="62">
        <f>'Travel - Kaihautu'!B71</f>
        <v>9363.32</v>
      </c>
      <c r="C16" s="69" t="str">
        <f>C11</f>
        <v>Figures exclude GST</v>
      </c>
      <c r="D16" s="36"/>
      <c r="E16" s="6"/>
      <c r="F16" s="37"/>
      <c r="G16" s="17"/>
      <c r="H16" s="17"/>
      <c r="I16" s="17"/>
      <c r="J16" s="17"/>
      <c r="K16" s="17"/>
    </row>
    <row r="17" spans="1:11" ht="27.75" customHeight="1" x14ac:dyDescent="0.25">
      <c r="A17" s="9" t="s">
        <v>72</v>
      </c>
      <c r="B17" s="62">
        <f>'Travel - Kaihautu'!B87</f>
        <v>247.24</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73</v>
      </c>
      <c r="B19" s="19"/>
      <c r="C19" s="17"/>
      <c r="D19" s="17"/>
      <c r="E19" s="17"/>
      <c r="F19" s="17"/>
      <c r="G19" s="17"/>
      <c r="H19" s="17"/>
      <c r="I19" s="17"/>
      <c r="J19" s="17"/>
      <c r="K19" s="17"/>
    </row>
    <row r="20" spans="1:11" ht="12.5" x14ac:dyDescent="0.25">
      <c r="A20" s="20" t="s">
        <v>74</v>
      </c>
      <c r="D20" s="17"/>
      <c r="E20" s="17"/>
      <c r="F20" s="17"/>
      <c r="G20" s="17"/>
      <c r="H20" s="17"/>
      <c r="I20" s="17"/>
      <c r="J20" s="17"/>
      <c r="K20" s="17"/>
    </row>
    <row r="21" spans="1:11" ht="12.65" customHeight="1" x14ac:dyDescent="0.25">
      <c r="A21" s="20" t="s">
        <v>75</v>
      </c>
      <c r="D21" s="17"/>
      <c r="E21" s="17"/>
      <c r="F21" s="17"/>
      <c r="G21" s="17"/>
      <c r="H21" s="17"/>
      <c r="I21" s="17"/>
      <c r="J21" s="17"/>
      <c r="K21" s="17"/>
    </row>
    <row r="22" spans="1:11" ht="12.65" customHeight="1" x14ac:dyDescent="0.25">
      <c r="A22" s="20" t="s">
        <v>76</v>
      </c>
      <c r="D22" s="17"/>
      <c r="E22" s="17"/>
      <c r="F22" s="17"/>
      <c r="G22" s="17"/>
      <c r="H22" s="17"/>
      <c r="I22" s="17"/>
      <c r="J22" s="17"/>
      <c r="K22" s="17"/>
    </row>
    <row r="23" spans="1:11" ht="12.65" customHeight="1" x14ac:dyDescent="0.25">
      <c r="A23" s="20" t="s">
        <v>77</v>
      </c>
      <c r="D23" s="17"/>
      <c r="E23" s="17"/>
      <c r="F23" s="17"/>
      <c r="G23" s="17"/>
      <c r="H23" s="17"/>
      <c r="I23" s="17"/>
      <c r="J23" s="17"/>
      <c r="K23" s="17"/>
    </row>
    <row r="24" spans="1:11" ht="12.5" x14ac:dyDescent="0.25">
      <c r="A24" s="26"/>
      <c r="B24" s="17"/>
      <c r="C24" s="17"/>
      <c r="D24" s="17"/>
      <c r="E24" s="17"/>
      <c r="F24" s="17"/>
      <c r="G24" s="17"/>
      <c r="H24" s="17"/>
      <c r="I24" s="17"/>
      <c r="J24" s="17"/>
      <c r="K24" s="17"/>
    </row>
    <row r="25" spans="1:11" ht="13" hidden="1" x14ac:dyDescent="0.3">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t="12.5" hidden="1" x14ac:dyDescent="0.25">
      <c r="A27" s="10" t="s">
        <v>80</v>
      </c>
      <c r="B27" s="10"/>
      <c r="C27" s="10"/>
      <c r="D27" s="10"/>
      <c r="E27" s="10"/>
      <c r="F27" s="10"/>
      <c r="G27" s="17"/>
      <c r="H27" s="17"/>
      <c r="I27" s="17"/>
      <c r="J27" s="17"/>
      <c r="K27" s="17"/>
    </row>
    <row r="28" spans="1:11" ht="12.5" hidden="1" x14ac:dyDescent="0.25">
      <c r="A28" s="10" t="s">
        <v>81</v>
      </c>
      <c r="B28" s="10"/>
      <c r="C28" s="10"/>
      <c r="D28" s="10"/>
      <c r="E28" s="10"/>
      <c r="F28" s="10"/>
      <c r="G28" s="17"/>
      <c r="H28" s="17"/>
      <c r="I28" s="17"/>
      <c r="J28" s="17"/>
      <c r="K28" s="17"/>
    </row>
    <row r="29" spans="1:11" ht="12.5" hidden="1" x14ac:dyDescent="0.25">
      <c r="A29" s="11" t="s">
        <v>82</v>
      </c>
      <c r="B29" s="11"/>
      <c r="C29" s="11"/>
      <c r="D29" s="11"/>
      <c r="E29" s="11"/>
      <c r="F29" s="11"/>
      <c r="G29" s="17"/>
      <c r="H29" s="17"/>
      <c r="I29" s="17"/>
      <c r="J29" s="17"/>
      <c r="K29" s="17"/>
    </row>
    <row r="30" spans="1:11" ht="12.5" hidden="1" x14ac:dyDescent="0.25">
      <c r="A30" s="11" t="s">
        <v>83</v>
      </c>
      <c r="B30" s="11"/>
      <c r="C30" s="11"/>
      <c r="D30" s="11"/>
      <c r="E30" s="11"/>
      <c r="F30" s="11"/>
      <c r="G30" s="17"/>
      <c r="H30" s="17"/>
      <c r="I30" s="17"/>
      <c r="J30" s="17"/>
      <c r="K30" s="17"/>
    </row>
    <row r="31" spans="1:11" ht="12.5" hidden="1" x14ac:dyDescent="0.25">
      <c r="A31" s="10" t="s">
        <v>84</v>
      </c>
      <c r="B31" s="10"/>
      <c r="C31" s="10"/>
      <c r="D31" s="10"/>
      <c r="E31" s="10"/>
      <c r="F31" s="10"/>
      <c r="G31" s="17"/>
      <c r="H31" s="17"/>
      <c r="I31" s="17"/>
      <c r="J31" s="17"/>
      <c r="K31" s="17"/>
    </row>
    <row r="32" spans="1:11" ht="12.5" hidden="1" x14ac:dyDescent="0.25">
      <c r="A32" s="10" t="s">
        <v>85</v>
      </c>
      <c r="B32" s="10"/>
      <c r="C32" s="10"/>
      <c r="D32" s="10"/>
      <c r="E32" s="10"/>
      <c r="F32" s="10"/>
      <c r="G32" s="17"/>
      <c r="H32" s="17"/>
      <c r="I32" s="17"/>
      <c r="J32" s="17"/>
      <c r="K32" s="17"/>
    </row>
    <row r="33" spans="1:11" ht="12.5" hidden="1" x14ac:dyDescent="0.25">
      <c r="A33" s="10" t="s">
        <v>86</v>
      </c>
      <c r="B33" s="10"/>
      <c r="C33" s="10"/>
      <c r="D33" s="10"/>
      <c r="E33" s="10"/>
      <c r="F33" s="10"/>
      <c r="G33" s="17"/>
      <c r="H33" s="17"/>
      <c r="I33" s="17"/>
      <c r="J33" s="17"/>
      <c r="K33" s="17"/>
    </row>
    <row r="34" spans="1:11" ht="12.5" hidden="1" x14ac:dyDescent="0.25">
      <c r="A34" s="11" t="s">
        <v>87</v>
      </c>
      <c r="B34" s="11"/>
      <c r="C34" s="11"/>
      <c r="D34" s="11"/>
      <c r="E34" s="11"/>
      <c r="F34" s="11"/>
      <c r="G34" s="17"/>
      <c r="H34" s="17"/>
      <c r="I34" s="17"/>
      <c r="J34" s="17"/>
      <c r="K34" s="17"/>
    </row>
    <row r="35" spans="1:11" ht="12.5" hidden="1" x14ac:dyDescent="0.25">
      <c r="A35" s="11" t="s">
        <v>88</v>
      </c>
      <c r="B35" s="11"/>
      <c r="C35" s="11"/>
      <c r="D35" s="11"/>
      <c r="E35" s="11"/>
      <c r="F35" s="11"/>
      <c r="G35" s="17"/>
      <c r="H35" s="17"/>
      <c r="I35" s="17"/>
      <c r="J35" s="17"/>
      <c r="K35" s="17"/>
    </row>
    <row r="36" spans="1:11" ht="12.5" hidden="1" x14ac:dyDescent="0.25">
      <c r="A36" s="10" t="s">
        <v>58</v>
      </c>
      <c r="B36" s="64"/>
      <c r="C36" s="64"/>
      <c r="D36" s="64"/>
      <c r="E36" s="64"/>
      <c r="F36" s="64"/>
      <c r="G36" s="17"/>
      <c r="H36" s="17"/>
      <c r="I36" s="17"/>
      <c r="J36" s="17"/>
      <c r="K36" s="17"/>
    </row>
    <row r="37" spans="1:11" ht="12.5" hidden="1" x14ac:dyDescent="0.25">
      <c r="A37" s="10" t="s">
        <v>89</v>
      </c>
      <c r="B37" s="64"/>
      <c r="C37" s="64"/>
      <c r="D37" s="64"/>
      <c r="E37" s="64"/>
      <c r="F37" s="64"/>
      <c r="G37" s="17"/>
      <c r="H37" s="17"/>
      <c r="I37" s="17"/>
      <c r="J37" s="17"/>
      <c r="K37" s="17"/>
    </row>
    <row r="38" spans="1:11" ht="12.5" hidden="1" x14ac:dyDescent="0.25">
      <c r="A38" s="10" t="s">
        <v>168</v>
      </c>
      <c r="B38" s="64"/>
      <c r="C38" s="64"/>
      <c r="D38" s="64"/>
      <c r="E38" s="64"/>
      <c r="F38" s="64"/>
      <c r="G38" s="17"/>
      <c r="H38" s="17"/>
      <c r="I38" s="17"/>
      <c r="J38" s="17"/>
      <c r="K38" s="17"/>
    </row>
    <row r="39" spans="1:11" ht="12.5" hidden="1" x14ac:dyDescent="0.25">
      <c r="A39" s="11" t="s">
        <v>90</v>
      </c>
      <c r="B39" s="4"/>
      <c r="C39" s="4"/>
      <c r="D39" s="4"/>
      <c r="E39" s="4"/>
      <c r="F39" s="4"/>
      <c r="G39" s="17"/>
      <c r="H39" s="17"/>
      <c r="I39" s="17"/>
      <c r="J39" s="17"/>
      <c r="K39" s="17"/>
    </row>
    <row r="40" spans="1:11" ht="12.5" hidden="1" x14ac:dyDescent="0.25">
      <c r="A40" s="4" t="s">
        <v>91</v>
      </c>
      <c r="B40" s="4"/>
      <c r="C40" s="4"/>
      <c r="D40" s="4"/>
      <c r="E40" s="4"/>
      <c r="F40" s="4"/>
      <c r="G40" s="17"/>
      <c r="H40" s="17"/>
      <c r="I40" s="17"/>
      <c r="J40" s="17"/>
      <c r="K40" s="17"/>
    </row>
    <row r="41" spans="1:11" ht="12.5" hidden="1" x14ac:dyDescent="0.25">
      <c r="A41" s="4" t="s">
        <v>92</v>
      </c>
      <c r="B41" s="4"/>
      <c r="C41" s="4"/>
      <c r="D41" s="4"/>
      <c r="E41" s="4"/>
      <c r="F41" s="4"/>
      <c r="G41" s="17"/>
      <c r="H41" s="17"/>
      <c r="I41" s="17"/>
      <c r="J41" s="17"/>
      <c r="K41" s="17"/>
    </row>
    <row r="42" spans="1:11" ht="12.5" hidden="1" x14ac:dyDescent="0.25">
      <c r="A42" s="4" t="s">
        <v>93</v>
      </c>
      <c r="B42" s="4"/>
      <c r="C42" s="4"/>
      <c r="D42" s="4"/>
      <c r="E42" s="4"/>
      <c r="F42" s="4"/>
      <c r="G42" s="17"/>
      <c r="H42" s="17"/>
      <c r="I42" s="17"/>
      <c r="J42" s="17"/>
      <c r="K42" s="17"/>
    </row>
    <row r="43" spans="1:11" ht="12.5" hidden="1" x14ac:dyDescent="0.25">
      <c r="A43" s="4" t="s">
        <v>94</v>
      </c>
      <c r="B43" s="4"/>
      <c r="C43" s="4"/>
      <c r="D43" s="4"/>
      <c r="E43" s="4"/>
      <c r="F43" s="4"/>
      <c r="G43" s="17"/>
      <c r="H43" s="17"/>
      <c r="I43" s="17"/>
      <c r="J43" s="17"/>
      <c r="K43" s="17"/>
    </row>
    <row r="44" spans="1:11" ht="12.5" hidden="1" x14ac:dyDescent="0.25">
      <c r="A44" s="4" t="s">
        <v>95</v>
      </c>
      <c r="B44" s="4"/>
      <c r="C44" s="4"/>
      <c r="D44" s="4"/>
      <c r="E44" s="4"/>
      <c r="F44" s="4"/>
      <c r="G44" s="17"/>
      <c r="H44" s="17"/>
      <c r="I44" s="17"/>
      <c r="J44" s="17"/>
      <c r="K44" s="17"/>
    </row>
    <row r="45" spans="1:11" ht="12.5" hidden="1" x14ac:dyDescent="0.25">
      <c r="A45" s="65" t="s">
        <v>96</v>
      </c>
      <c r="B45" s="64"/>
      <c r="C45" s="64"/>
      <c r="D45" s="64"/>
      <c r="E45" s="64"/>
      <c r="F45" s="64"/>
      <c r="G45" s="17"/>
      <c r="H45" s="17"/>
      <c r="I45" s="17"/>
      <c r="J45" s="17"/>
      <c r="K45" s="17"/>
    </row>
    <row r="46" spans="1:11" ht="12.5" hidden="1" x14ac:dyDescent="0.25">
      <c r="A46" s="64" t="s">
        <v>97</v>
      </c>
      <c r="B46" s="64"/>
      <c r="C46" s="64"/>
      <c r="D46" s="64"/>
      <c r="E46" s="64"/>
      <c r="F46" s="64"/>
      <c r="G46" s="17"/>
      <c r="H46" s="17"/>
      <c r="I46" s="17"/>
      <c r="J46" s="17"/>
      <c r="K46" s="17"/>
    </row>
    <row r="47" spans="1:11" ht="12.5" hidden="1" x14ac:dyDescent="0.25">
      <c r="A47" s="38">
        <v>-20000</v>
      </c>
      <c r="B47" s="4"/>
      <c r="C47" s="4"/>
      <c r="D47" s="4"/>
      <c r="E47" s="4"/>
      <c r="F47" s="4"/>
      <c r="G47" s="17"/>
      <c r="H47" s="17"/>
      <c r="I47" s="17"/>
      <c r="J47" s="17"/>
      <c r="K47" s="17"/>
    </row>
    <row r="48" spans="1:11" ht="25" hidden="1" x14ac:dyDescent="0.25">
      <c r="A48" s="82" t="s">
        <v>98</v>
      </c>
      <c r="B48" s="64"/>
      <c r="C48" s="64"/>
      <c r="D48" s="64"/>
      <c r="E48" s="64"/>
      <c r="F48" s="64"/>
      <c r="G48" s="17"/>
      <c r="H48" s="17"/>
      <c r="I48" s="17"/>
      <c r="J48" s="17"/>
      <c r="K48" s="17"/>
    </row>
    <row r="49" spans="1:11" ht="25" hidden="1" x14ac:dyDescent="0.25">
      <c r="A49" s="82" t="s">
        <v>99</v>
      </c>
      <c r="B49" s="64"/>
      <c r="C49" s="64"/>
      <c r="D49" s="64"/>
      <c r="E49" s="64"/>
      <c r="F49" s="64"/>
      <c r="G49" s="17"/>
      <c r="H49" s="17"/>
      <c r="I49" s="17"/>
      <c r="J49" s="17"/>
      <c r="K49" s="17"/>
    </row>
    <row r="50" spans="1:11" ht="25" hidden="1" x14ac:dyDescent="0.25">
      <c r="A50" s="83" t="s">
        <v>100</v>
      </c>
      <c r="B50" s="4"/>
      <c r="C50" s="4"/>
      <c r="D50" s="4"/>
      <c r="E50" s="4"/>
      <c r="F50" s="4"/>
      <c r="G50" s="17"/>
      <c r="H50" s="17"/>
      <c r="I50" s="17"/>
      <c r="J50" s="17"/>
      <c r="K50" s="17"/>
    </row>
    <row r="51" spans="1:11" ht="25" hidden="1" x14ac:dyDescent="0.25">
      <c r="A51" s="83" t="s">
        <v>101</v>
      </c>
      <c r="B51" s="4"/>
      <c r="C51" s="4"/>
      <c r="D51" s="4"/>
      <c r="E51" s="4"/>
      <c r="F51" s="4"/>
      <c r="G51" s="17"/>
      <c r="H51" s="17"/>
      <c r="I51" s="17"/>
      <c r="J51" s="17"/>
      <c r="K51" s="17"/>
    </row>
    <row r="52" spans="1:11" ht="37.5" hidden="1" x14ac:dyDescent="0.3">
      <c r="A52" s="83" t="s">
        <v>102</v>
      </c>
      <c r="B52" s="75"/>
      <c r="C52" s="75"/>
      <c r="D52" s="75"/>
      <c r="E52" s="11"/>
      <c r="F52" s="11"/>
      <c r="G52" s="17"/>
      <c r="H52" s="17"/>
      <c r="I52" s="17"/>
      <c r="J52" s="17"/>
      <c r="K52" s="17"/>
    </row>
    <row r="53" spans="1:11" ht="13" hidden="1" x14ac:dyDescent="0.3">
      <c r="A53" s="80" t="s">
        <v>103</v>
      </c>
      <c r="B53" s="74"/>
      <c r="C53" s="74"/>
      <c r="D53" s="74"/>
      <c r="E53" s="10"/>
      <c r="F53" s="10" t="b">
        <v>1</v>
      </c>
      <c r="G53" s="17"/>
      <c r="H53" s="17"/>
      <c r="I53" s="17"/>
      <c r="J53" s="17"/>
      <c r="K53" s="17"/>
    </row>
    <row r="54" spans="1:11" ht="13" hidden="1" x14ac:dyDescent="0.3">
      <c r="A54" s="81" t="s">
        <v>104</v>
      </c>
      <c r="B54" s="80"/>
      <c r="C54" s="80"/>
      <c r="D54" s="80"/>
      <c r="E54" s="10"/>
      <c r="F54" s="10" t="b">
        <v>0</v>
      </c>
      <c r="G54" s="17"/>
      <c r="H54" s="17"/>
      <c r="I54" s="17"/>
      <c r="J54" s="17"/>
      <c r="K54" s="17"/>
    </row>
    <row r="55" spans="1:11" ht="13" hidden="1" x14ac:dyDescent="0.25">
      <c r="A55" s="84"/>
      <c r="B55" s="76">
        <f>COUNT('Travel - Kaihautu'!B12:B17)</f>
        <v>3</v>
      </c>
      <c r="C55" s="76"/>
      <c r="D55" s="76">
        <f>COUNTIF('Travel - Kaihautu'!D12:D17,"*")</f>
        <v>3</v>
      </c>
      <c r="E55" s="77"/>
      <c r="F55" s="77" t="b">
        <f>MIN(B55,D55)=MAX(B55,D55)</f>
        <v>1</v>
      </c>
      <c r="G55" s="17"/>
      <c r="H55" s="17"/>
      <c r="I55" s="17"/>
      <c r="J55" s="17"/>
      <c r="K55" s="17"/>
    </row>
    <row r="56" spans="1:11" ht="13" hidden="1" x14ac:dyDescent="0.25">
      <c r="A56" s="84" t="s">
        <v>105</v>
      </c>
      <c r="B56" s="76">
        <f>COUNT('Travel - Kaihautu'!B22:B70)</f>
        <v>46</v>
      </c>
      <c r="C56" s="76"/>
      <c r="D56" s="76">
        <f>COUNTIF('Travel - Kaihautu'!D22:D70,"*")</f>
        <v>46</v>
      </c>
      <c r="E56" s="77"/>
      <c r="F56" s="77" t="b">
        <f>MIN(B56,D56)=MAX(B56,D56)</f>
        <v>1</v>
      </c>
    </row>
    <row r="57" spans="1:11" ht="13" hidden="1" x14ac:dyDescent="0.3">
      <c r="A57" s="85"/>
      <c r="B57" s="76">
        <f>COUNT('Travel - Kaihautu'!B75:B86)</f>
        <v>6</v>
      </c>
      <c r="C57" s="76"/>
      <c r="D57" s="76">
        <f>COUNTIF('Travel - Kaihautu'!D75:D86,"*")</f>
        <v>6</v>
      </c>
      <c r="E57" s="77"/>
      <c r="F57" s="77" t="b">
        <f>MIN(B57,D57)=MAX(B57,D57)</f>
        <v>1</v>
      </c>
    </row>
    <row r="58" spans="1:11" ht="13" hidden="1" x14ac:dyDescent="0.3">
      <c r="A58" s="86" t="s">
        <v>106</v>
      </c>
      <c r="B58" s="78">
        <f>COUNT('Hospitality - Kaihautu'!B11:B25)</f>
        <v>4</v>
      </c>
      <c r="C58" s="78"/>
      <c r="D58" s="78">
        <f>COUNTIF('Hospitality - Kaihautu'!D11:D25,"*")</f>
        <v>4</v>
      </c>
      <c r="E58" s="79"/>
      <c r="F58" s="79" t="b">
        <f>MIN(B58,D58)=MAX(B58,D58)</f>
        <v>1</v>
      </c>
    </row>
    <row r="59" spans="1:11" ht="13" hidden="1" x14ac:dyDescent="0.3">
      <c r="A59" s="87" t="s">
        <v>107</v>
      </c>
      <c r="B59" s="77">
        <f>COUNT('All other expenses - Kaihautu'!B11:B33)</f>
        <v>13</v>
      </c>
      <c r="C59" s="77"/>
      <c r="D59" s="77">
        <f>COUNTIF('All other expenses - Kaihautu'!D11:D33,"*")</f>
        <v>13</v>
      </c>
      <c r="E59" s="77"/>
      <c r="F59" s="77" t="b">
        <f>MIN(B59,D59)=MAX(B59,D59)</f>
        <v>1</v>
      </c>
    </row>
    <row r="60" spans="1:11" ht="13" hidden="1" x14ac:dyDescent="0.3">
      <c r="A60" s="86" t="s">
        <v>108</v>
      </c>
      <c r="B60" s="78">
        <f>COUNTIF('Gifts and benefits - Kaihautu'!B11:B19,"*")</f>
        <v>5</v>
      </c>
      <c r="C60" s="78">
        <f>COUNTIF('Gifts and benefits - Kaihautu'!C11:C19,"*")</f>
        <v>5</v>
      </c>
      <c r="D60" s="78"/>
      <c r="E60" s="78">
        <f>COUNTA('Gifts and benefits - Kaihautu'!E11:E19)</f>
        <v>5</v>
      </c>
      <c r="F60" s="79" t="b">
        <f>MIN(B60,C60,E60)=MAX(B60,C60,E60)</f>
        <v>1</v>
      </c>
    </row>
    <row r="61" spans="1:11" ht="12.5" x14ac:dyDescent="0.25"/>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600-000000000000}"/>
    <dataValidation allowBlank="1" showInputMessage="1" showErrorMessage="1" prompt="Headings on following tabs will pre populate with what you enter here_x000a__x000a_Update if a shorter or different period is covered" sqref="B4:F5" xr:uid="{00000000-0002-0000-0600-000001000000}"/>
    <dataValidation allowBlank="1" showInputMessage="1" showErrorMessage="1" prompt="Headings on following tabs will pre populate with what you enter here_x000a__x000a_Create a new workbook for a new Chief Executive" sqref="B3:F3" xr:uid="{00000000-0002-0000-0600-000002000000}"/>
    <dataValidation allowBlank="1" showInputMessage="1" showErrorMessage="1" prompt="Headings on following tabs will pre populate with what you enter here" sqref="B2:F2" xr:uid="{00000000-0002-0000-06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6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6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M231"/>
  <sheetViews>
    <sheetView tabSelected="1" topLeftCell="A16" zoomScale="70" zoomScaleNormal="70" workbookViewId="0">
      <selection activeCell="F18" sqref="F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5" t="s">
        <v>109</v>
      </c>
      <c r="B1" s="135"/>
      <c r="C1" s="135"/>
      <c r="D1" s="135"/>
      <c r="E1" s="135"/>
      <c r="F1" s="17"/>
    </row>
    <row r="2" spans="1:6" ht="21" customHeight="1" x14ac:dyDescent="0.25">
      <c r="A2" s="3" t="s">
        <v>52</v>
      </c>
      <c r="B2" s="138" t="str">
        <f>'Summary and sign-off Kaihautu'!B2:F2</f>
        <v>Museum of New Zealand Te Papa Tongarewa</v>
      </c>
      <c r="C2" s="138"/>
      <c r="D2" s="138"/>
      <c r="E2" s="138"/>
      <c r="F2" s="17"/>
    </row>
    <row r="3" spans="1:6" ht="21" customHeight="1" x14ac:dyDescent="0.25">
      <c r="A3" s="3" t="s">
        <v>110</v>
      </c>
      <c r="B3" s="138" t="str">
        <f>'Summary and sign-off Kaihautu'!B3:F3</f>
        <v>Arapata Hakiwai</v>
      </c>
      <c r="C3" s="138"/>
      <c r="D3" s="138"/>
      <c r="E3" s="138"/>
      <c r="F3" s="17"/>
    </row>
    <row r="4" spans="1:6" ht="21" customHeight="1" x14ac:dyDescent="0.25">
      <c r="A4" s="3" t="s">
        <v>111</v>
      </c>
      <c r="B4" s="138">
        <f>'Summary and sign-off Kaihautu'!B4:F4</f>
        <v>44743</v>
      </c>
      <c r="C4" s="138"/>
      <c r="D4" s="138"/>
      <c r="E4" s="138"/>
      <c r="F4" s="17"/>
    </row>
    <row r="5" spans="1:6" ht="21" customHeight="1" x14ac:dyDescent="0.25">
      <c r="A5" s="3" t="s">
        <v>112</v>
      </c>
      <c r="B5" s="138">
        <f>'Summary and sign-off Kaihautu'!B5:F5</f>
        <v>45107</v>
      </c>
      <c r="C5" s="138"/>
      <c r="D5" s="138"/>
      <c r="E5" s="138"/>
      <c r="F5" s="17"/>
    </row>
    <row r="6" spans="1:6" ht="21" customHeight="1" x14ac:dyDescent="0.25">
      <c r="A6" s="3" t="s">
        <v>113</v>
      </c>
      <c r="B6" s="133" t="s">
        <v>81</v>
      </c>
      <c r="C6" s="133"/>
      <c r="D6" s="133"/>
      <c r="E6" s="133"/>
      <c r="F6" s="17"/>
    </row>
    <row r="7" spans="1:6" ht="21" customHeight="1" x14ac:dyDescent="0.25">
      <c r="A7" s="3" t="s">
        <v>56</v>
      </c>
      <c r="B7" s="133" t="s">
        <v>83</v>
      </c>
      <c r="C7" s="133"/>
      <c r="D7" s="133"/>
      <c r="E7" s="133"/>
      <c r="F7" s="17"/>
    </row>
    <row r="8" spans="1:6" ht="36" customHeight="1" x14ac:dyDescent="0.3">
      <c r="A8" s="141" t="s">
        <v>114</v>
      </c>
      <c r="B8" s="142"/>
      <c r="C8" s="142"/>
      <c r="D8" s="142"/>
      <c r="E8" s="142"/>
      <c r="F8" s="19"/>
    </row>
    <row r="9" spans="1:6" ht="36" customHeight="1" x14ac:dyDescent="0.3">
      <c r="A9" s="143" t="s">
        <v>115</v>
      </c>
      <c r="B9" s="144"/>
      <c r="C9" s="144"/>
      <c r="D9" s="144"/>
      <c r="E9" s="144"/>
      <c r="F9" s="19"/>
    </row>
    <row r="10" spans="1:6" ht="24.75" customHeight="1" x14ac:dyDescent="0.35">
      <c r="A10" s="140" t="s">
        <v>116</v>
      </c>
      <c r="B10" s="145"/>
      <c r="C10" s="140"/>
      <c r="D10" s="140"/>
      <c r="E10" s="140"/>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x14ac:dyDescent="0.25">
      <c r="A13" s="120">
        <v>44825</v>
      </c>
      <c r="B13" s="121">
        <v>2847.07</v>
      </c>
      <c r="C13" s="122" t="s">
        <v>263</v>
      </c>
      <c r="D13" s="122" t="s">
        <v>180</v>
      </c>
      <c r="E13" s="123" t="s">
        <v>265</v>
      </c>
      <c r="F13" s="1"/>
    </row>
    <row r="14" spans="1:6" s="2" customFormat="1" x14ac:dyDescent="0.25">
      <c r="A14" s="120">
        <v>44825</v>
      </c>
      <c r="B14" s="121">
        <v>8680.19</v>
      </c>
      <c r="C14" s="122" t="s">
        <v>263</v>
      </c>
      <c r="D14" s="122" t="s">
        <v>179</v>
      </c>
      <c r="E14" s="123" t="s">
        <v>265</v>
      </c>
      <c r="F14" s="1"/>
    </row>
    <row r="15" spans="1:6" s="2" customFormat="1" x14ac:dyDescent="0.25">
      <c r="A15" s="120">
        <v>44825</v>
      </c>
      <c r="B15" s="121">
        <f>511.57+22.12</f>
        <v>533.68999999999994</v>
      </c>
      <c r="C15" s="122" t="s">
        <v>263</v>
      </c>
      <c r="D15" s="122" t="s">
        <v>193</v>
      </c>
      <c r="E15" s="123" t="s">
        <v>265</v>
      </c>
      <c r="F15" s="1"/>
    </row>
    <row r="16" spans="1:6" s="2" customFormat="1" x14ac:dyDescent="0.25">
      <c r="A16" s="124"/>
      <c r="B16" s="121"/>
      <c r="C16" s="122"/>
      <c r="D16" s="122"/>
      <c r="E16" s="123"/>
      <c r="F16" s="1"/>
    </row>
    <row r="17" spans="1:6" s="2" customFormat="1" hidden="1" x14ac:dyDescent="0.25">
      <c r="A17" s="106"/>
      <c r="B17" s="107"/>
      <c r="C17" s="108"/>
      <c r="D17" s="108"/>
      <c r="E17" s="109"/>
      <c r="F17" s="1"/>
    </row>
    <row r="18" spans="1:6" ht="19.5" customHeight="1" x14ac:dyDescent="0.25">
      <c r="A18" s="72" t="s">
        <v>122</v>
      </c>
      <c r="B18" s="73">
        <f>SUM(B12:B17)</f>
        <v>12060.95</v>
      </c>
      <c r="C18" s="131" t="str">
        <f>IF(SUBTOTAL(3,B12:B17)=SUBTOTAL(103,B12:B17),'Summary and sign-off Kaihautu'!$A$48,'Summary and sign-off Kaihautu'!$A$49)</f>
        <v>Check - there are no hidden rows with data</v>
      </c>
      <c r="D18" s="139" t="str">
        <f>IF('Summary and sign-off Kaihautu'!F55='Summary and sign-off Kaihautu'!F54,'Summary and sign-off Kaihautu'!A51,'Summary and sign-off Kaihautu'!A50)</f>
        <v>Check - each entry provides sufficient information</v>
      </c>
      <c r="E18" s="139"/>
      <c r="F18" s="17"/>
    </row>
    <row r="19" spans="1:6" ht="10.5" customHeight="1" x14ac:dyDescent="0.3">
      <c r="A19" s="17"/>
      <c r="B19" s="19"/>
      <c r="C19" s="17"/>
      <c r="D19" s="17"/>
      <c r="E19" s="17"/>
      <c r="F19" s="17"/>
    </row>
    <row r="20" spans="1:6" ht="24.75" customHeight="1" x14ac:dyDescent="0.35">
      <c r="A20" s="140" t="s">
        <v>123</v>
      </c>
      <c r="B20" s="140"/>
      <c r="C20" s="140"/>
      <c r="D20" s="140"/>
      <c r="E20" s="140"/>
      <c r="F20" s="29"/>
    </row>
    <row r="21" spans="1:6" ht="27" customHeight="1" x14ac:dyDescent="0.25">
      <c r="A21" s="24" t="s">
        <v>117</v>
      </c>
      <c r="B21" s="24" t="s">
        <v>62</v>
      </c>
      <c r="C21" s="24" t="s">
        <v>124</v>
      </c>
      <c r="D21" s="24" t="s">
        <v>120</v>
      </c>
      <c r="E21" s="24" t="s">
        <v>121</v>
      </c>
      <c r="F21" s="30"/>
    </row>
    <row r="22" spans="1:6" s="2" customFormat="1" hidden="1" x14ac:dyDescent="0.25">
      <c r="A22" s="96"/>
      <c r="B22" s="97"/>
      <c r="C22" s="98"/>
      <c r="D22" s="98"/>
      <c r="E22" s="99"/>
      <c r="F22" s="1"/>
    </row>
    <row r="23" spans="1:6" s="2" customFormat="1" x14ac:dyDescent="0.25">
      <c r="A23" s="120">
        <v>44797</v>
      </c>
      <c r="B23" s="121">
        <v>532.24</v>
      </c>
      <c r="C23" s="122" t="s">
        <v>266</v>
      </c>
      <c r="D23" s="122" t="s">
        <v>179</v>
      </c>
      <c r="E23" s="123" t="s">
        <v>174</v>
      </c>
      <c r="F23" s="1"/>
    </row>
    <row r="24" spans="1:6" s="2" customFormat="1" x14ac:dyDescent="0.25">
      <c r="A24" s="120">
        <v>44797</v>
      </c>
      <c r="B24" s="121">
        <v>101.08</v>
      </c>
      <c r="C24" s="122" t="s">
        <v>266</v>
      </c>
      <c r="D24" s="122" t="s">
        <v>181</v>
      </c>
      <c r="E24" s="123" t="s">
        <v>174</v>
      </c>
      <c r="F24" s="1"/>
    </row>
    <row r="25" spans="1:6" s="2" customFormat="1" x14ac:dyDescent="0.25">
      <c r="A25" s="120">
        <v>44797</v>
      </c>
      <c r="B25" s="121">
        <v>4</v>
      </c>
      <c r="C25" s="122" t="s">
        <v>266</v>
      </c>
      <c r="D25" s="122" t="s">
        <v>193</v>
      </c>
      <c r="E25" s="123" t="s">
        <v>174</v>
      </c>
      <c r="F25" s="1"/>
    </row>
    <row r="26" spans="1:6" s="2" customFormat="1" x14ac:dyDescent="0.25">
      <c r="A26" s="120">
        <v>44800</v>
      </c>
      <c r="B26" s="121">
        <f>498.48+108.83</f>
        <v>607.31000000000006</v>
      </c>
      <c r="C26" s="122" t="s">
        <v>267</v>
      </c>
      <c r="D26" s="122" t="s">
        <v>179</v>
      </c>
      <c r="E26" s="123" t="s">
        <v>185</v>
      </c>
      <c r="F26" s="1"/>
    </row>
    <row r="27" spans="1:6" s="2" customFormat="1" x14ac:dyDescent="0.25">
      <c r="A27" s="120">
        <v>44800</v>
      </c>
      <c r="B27" s="121">
        <v>218.7</v>
      </c>
      <c r="C27" s="122" t="s">
        <v>267</v>
      </c>
      <c r="D27" s="122" t="s">
        <v>180</v>
      </c>
      <c r="E27" s="123" t="s">
        <v>185</v>
      </c>
      <c r="F27" s="1"/>
    </row>
    <row r="28" spans="1:6" s="2" customFormat="1" x14ac:dyDescent="0.25">
      <c r="A28" s="120">
        <v>44800</v>
      </c>
      <c r="B28" s="121">
        <v>58.63</v>
      </c>
      <c r="C28" s="122" t="s">
        <v>267</v>
      </c>
      <c r="D28" s="122" t="s">
        <v>181</v>
      </c>
      <c r="E28" s="123" t="s">
        <v>185</v>
      </c>
      <c r="F28" s="1"/>
    </row>
    <row r="29" spans="1:6" s="2" customFormat="1" x14ac:dyDescent="0.25">
      <c r="A29" s="120">
        <v>44800</v>
      </c>
      <c r="B29" s="121">
        <f>28+13.13+10</f>
        <v>51.13</v>
      </c>
      <c r="C29" s="122" t="s">
        <v>267</v>
      </c>
      <c r="D29" s="122" t="s">
        <v>193</v>
      </c>
      <c r="E29" s="123" t="s">
        <v>185</v>
      </c>
      <c r="F29" s="1"/>
    </row>
    <row r="30" spans="1:6" s="2" customFormat="1" x14ac:dyDescent="0.25">
      <c r="A30" s="120">
        <v>44804</v>
      </c>
      <c r="B30" s="121">
        <v>244</v>
      </c>
      <c r="C30" s="122" t="s">
        <v>196</v>
      </c>
      <c r="D30" s="122" t="s">
        <v>171</v>
      </c>
      <c r="E30" s="123" t="s">
        <v>172</v>
      </c>
      <c r="F30" s="1"/>
    </row>
    <row r="31" spans="1:6" s="2" customFormat="1" x14ac:dyDescent="0.25">
      <c r="A31" s="120">
        <v>44831</v>
      </c>
      <c r="B31" s="121">
        <v>84</v>
      </c>
      <c r="C31" s="122" t="s">
        <v>194</v>
      </c>
      <c r="D31" s="122" t="s">
        <v>193</v>
      </c>
      <c r="E31" s="123" t="s">
        <v>185</v>
      </c>
      <c r="F31" s="1"/>
    </row>
    <row r="32" spans="1:6" s="2" customFormat="1" x14ac:dyDescent="0.25">
      <c r="A32" s="120">
        <v>44834</v>
      </c>
      <c r="B32" s="121">
        <v>69.540000000000006</v>
      </c>
      <c r="C32" s="122" t="s">
        <v>196</v>
      </c>
      <c r="D32" s="122" t="s">
        <v>171</v>
      </c>
      <c r="E32" s="123" t="s">
        <v>172</v>
      </c>
      <c r="F32" s="1"/>
    </row>
    <row r="33" spans="1:6" s="2" customFormat="1" x14ac:dyDescent="0.25">
      <c r="A33" s="120">
        <v>44865</v>
      </c>
      <c r="B33" s="121">
        <v>70.87</v>
      </c>
      <c r="C33" s="122" t="s">
        <v>196</v>
      </c>
      <c r="D33" s="122" t="s">
        <v>171</v>
      </c>
      <c r="E33" s="123" t="s">
        <v>172</v>
      </c>
      <c r="F33" s="1"/>
    </row>
    <row r="34" spans="1:6" s="2" customFormat="1" x14ac:dyDescent="0.25">
      <c r="A34" s="120">
        <v>44865</v>
      </c>
      <c r="B34" s="121">
        <f>10.87+58.68+14.78</f>
        <v>84.33</v>
      </c>
      <c r="C34" s="122" t="s">
        <v>268</v>
      </c>
      <c r="D34" s="122" t="s">
        <v>252</v>
      </c>
      <c r="E34" s="123" t="s">
        <v>172</v>
      </c>
      <c r="F34" s="1"/>
    </row>
    <row r="35" spans="1:6" s="2" customFormat="1" ht="25" x14ac:dyDescent="0.25">
      <c r="A35" s="120">
        <v>44869</v>
      </c>
      <c r="B35" s="121">
        <v>641.67999999999995</v>
      </c>
      <c r="C35" s="122" t="s">
        <v>269</v>
      </c>
      <c r="D35" s="122" t="s">
        <v>179</v>
      </c>
      <c r="E35" s="123" t="s">
        <v>197</v>
      </c>
      <c r="F35" s="1"/>
    </row>
    <row r="36" spans="1:6" s="2" customFormat="1" ht="25" x14ac:dyDescent="0.25">
      <c r="A36" s="120">
        <v>44869</v>
      </c>
      <c r="B36" s="121">
        <v>559.70000000000005</v>
      </c>
      <c r="C36" s="122" t="s">
        <v>269</v>
      </c>
      <c r="D36" s="122" t="s">
        <v>180</v>
      </c>
      <c r="E36" s="123" t="s">
        <v>197</v>
      </c>
      <c r="F36" s="1"/>
    </row>
    <row r="37" spans="1:6" s="2" customFormat="1" ht="25" x14ac:dyDescent="0.25">
      <c r="A37" s="120">
        <v>44869</v>
      </c>
      <c r="B37" s="121">
        <v>274.51</v>
      </c>
      <c r="C37" s="122" t="s">
        <v>269</v>
      </c>
      <c r="D37" s="122" t="s">
        <v>181</v>
      </c>
      <c r="E37" s="123" t="s">
        <v>197</v>
      </c>
      <c r="F37" s="1"/>
    </row>
    <row r="38" spans="1:6" s="2" customFormat="1" ht="25" x14ac:dyDescent="0.25">
      <c r="A38" s="120">
        <v>44869</v>
      </c>
      <c r="B38" s="121">
        <f>4+4+14</f>
        <v>22</v>
      </c>
      <c r="C38" s="122" t="s">
        <v>269</v>
      </c>
      <c r="D38" s="122" t="s">
        <v>193</v>
      </c>
      <c r="E38" s="123" t="s">
        <v>197</v>
      </c>
      <c r="F38" s="1"/>
    </row>
    <row r="39" spans="1:6" s="2" customFormat="1" ht="25" x14ac:dyDescent="0.25">
      <c r="A39" s="120">
        <v>44869</v>
      </c>
      <c r="B39" s="121">
        <f>12.17+46.43+8.75+21.65</f>
        <v>89</v>
      </c>
      <c r="C39" s="122" t="s">
        <v>269</v>
      </c>
      <c r="D39" s="122" t="s">
        <v>252</v>
      </c>
      <c r="E39" s="123" t="s">
        <v>197</v>
      </c>
      <c r="F39" s="1"/>
    </row>
    <row r="40" spans="1:6" s="2" customFormat="1" x14ac:dyDescent="0.25">
      <c r="A40" s="120">
        <v>44878</v>
      </c>
      <c r="B40" s="121">
        <v>693.02</v>
      </c>
      <c r="C40" s="122" t="s">
        <v>186</v>
      </c>
      <c r="D40" s="122" t="s">
        <v>179</v>
      </c>
      <c r="E40" s="123" t="s">
        <v>174</v>
      </c>
      <c r="F40" s="1"/>
    </row>
    <row r="41" spans="1:6" s="2" customFormat="1" x14ac:dyDescent="0.25">
      <c r="A41" s="120">
        <v>44878</v>
      </c>
      <c r="B41" s="121">
        <v>559.57000000000005</v>
      </c>
      <c r="C41" s="122" t="s">
        <v>186</v>
      </c>
      <c r="D41" s="122" t="s">
        <v>180</v>
      </c>
      <c r="E41" s="123" t="s">
        <v>174</v>
      </c>
      <c r="F41" s="1"/>
    </row>
    <row r="42" spans="1:6" s="2" customFormat="1" x14ac:dyDescent="0.25">
      <c r="A42" s="120">
        <v>44878</v>
      </c>
      <c r="B42" s="121">
        <v>78</v>
      </c>
      <c r="C42" s="122" t="s">
        <v>186</v>
      </c>
      <c r="D42" s="122" t="s">
        <v>193</v>
      </c>
      <c r="E42" s="123" t="s">
        <v>174</v>
      </c>
      <c r="F42" s="1"/>
    </row>
    <row r="43" spans="1:6" s="2" customFormat="1" x14ac:dyDescent="0.25">
      <c r="A43" s="120">
        <v>44880</v>
      </c>
      <c r="B43" s="121">
        <v>118.43</v>
      </c>
      <c r="C43" s="122" t="s">
        <v>186</v>
      </c>
      <c r="D43" s="122" t="s">
        <v>171</v>
      </c>
      <c r="E43" s="123" t="s">
        <v>174</v>
      </c>
      <c r="F43" s="1"/>
    </row>
    <row r="44" spans="1:6" s="2" customFormat="1" x14ac:dyDescent="0.25">
      <c r="A44" s="120">
        <v>44880</v>
      </c>
      <c r="B44" s="121">
        <v>271.08</v>
      </c>
      <c r="C44" s="122" t="s">
        <v>196</v>
      </c>
      <c r="D44" s="122" t="s">
        <v>171</v>
      </c>
      <c r="E44" s="123" t="s">
        <v>172</v>
      </c>
      <c r="F44" s="1"/>
    </row>
    <row r="45" spans="1:6" s="2" customFormat="1" x14ac:dyDescent="0.25">
      <c r="A45" s="120">
        <v>44895</v>
      </c>
      <c r="B45" s="121">
        <v>65.900000000000006</v>
      </c>
      <c r="C45" s="122" t="s">
        <v>196</v>
      </c>
      <c r="D45" s="122" t="s">
        <v>171</v>
      </c>
      <c r="E45" s="123" t="s">
        <v>172</v>
      </c>
      <c r="F45" s="1"/>
    </row>
    <row r="46" spans="1:6" s="2" customFormat="1" x14ac:dyDescent="0.25">
      <c r="A46" s="120">
        <v>44885</v>
      </c>
      <c r="B46" s="121">
        <v>44</v>
      </c>
      <c r="C46" s="122" t="s">
        <v>195</v>
      </c>
      <c r="D46" s="122" t="s">
        <v>193</v>
      </c>
      <c r="E46" s="123" t="s">
        <v>190</v>
      </c>
      <c r="F46" s="1"/>
    </row>
    <row r="47" spans="1:6" s="2" customFormat="1" x14ac:dyDescent="0.25">
      <c r="A47" s="120">
        <v>44959</v>
      </c>
      <c r="B47" s="121">
        <v>207.83</v>
      </c>
      <c r="C47" s="122" t="s">
        <v>214</v>
      </c>
      <c r="D47" s="122" t="s">
        <v>180</v>
      </c>
      <c r="E47" s="123" t="s">
        <v>264</v>
      </c>
      <c r="F47" s="1"/>
    </row>
    <row r="48" spans="1:6" s="2" customFormat="1" x14ac:dyDescent="0.25">
      <c r="A48" s="120">
        <v>44959</v>
      </c>
      <c r="B48" s="121">
        <v>74</v>
      </c>
      <c r="C48" s="122" t="s">
        <v>214</v>
      </c>
      <c r="D48" s="122" t="s">
        <v>193</v>
      </c>
      <c r="E48" s="123" t="s">
        <v>264</v>
      </c>
      <c r="F48" s="1"/>
    </row>
    <row r="49" spans="1:6" s="2" customFormat="1" x14ac:dyDescent="0.25">
      <c r="A49" s="120">
        <v>44959</v>
      </c>
      <c r="B49" s="121">
        <f>72.31+67.06</f>
        <v>139.37</v>
      </c>
      <c r="C49" s="122" t="s">
        <v>214</v>
      </c>
      <c r="D49" s="122" t="s">
        <v>171</v>
      </c>
      <c r="E49" s="123" t="s">
        <v>264</v>
      </c>
      <c r="F49" s="1"/>
    </row>
    <row r="50" spans="1:6" s="2" customFormat="1" x14ac:dyDescent="0.25">
      <c r="A50" s="120">
        <v>44979</v>
      </c>
      <c r="B50" s="121">
        <f>45.55+453.78</f>
        <v>499.33</v>
      </c>
      <c r="C50" s="122" t="s">
        <v>212</v>
      </c>
      <c r="D50" s="122" t="s">
        <v>179</v>
      </c>
      <c r="E50" s="123" t="s">
        <v>174</v>
      </c>
      <c r="F50" s="1"/>
    </row>
    <row r="51" spans="1:6" s="2" customFormat="1" x14ac:dyDescent="0.25">
      <c r="A51" s="120">
        <v>44979</v>
      </c>
      <c r="B51" s="121">
        <f>20+20</f>
        <v>40</v>
      </c>
      <c r="C51" s="122" t="s">
        <v>212</v>
      </c>
      <c r="D51" s="122" t="s">
        <v>193</v>
      </c>
      <c r="E51" s="123" t="s">
        <v>174</v>
      </c>
      <c r="F51" s="1"/>
    </row>
    <row r="52" spans="1:6" s="2" customFormat="1" x14ac:dyDescent="0.25">
      <c r="A52" s="120">
        <v>44979</v>
      </c>
      <c r="B52" s="121">
        <f>81.3+163.57</f>
        <v>244.87</v>
      </c>
      <c r="C52" s="122" t="s">
        <v>212</v>
      </c>
      <c r="D52" s="122" t="s">
        <v>171</v>
      </c>
      <c r="E52" s="123" t="s">
        <v>174</v>
      </c>
      <c r="F52" s="1"/>
    </row>
    <row r="53" spans="1:6" s="2" customFormat="1" x14ac:dyDescent="0.25">
      <c r="A53" s="120">
        <v>45036</v>
      </c>
      <c r="B53" s="121">
        <v>256.5</v>
      </c>
      <c r="C53" s="122" t="s">
        <v>213</v>
      </c>
      <c r="D53" s="122" t="s">
        <v>179</v>
      </c>
      <c r="E53" s="123" t="s">
        <v>174</v>
      </c>
      <c r="F53" s="1"/>
    </row>
    <row r="54" spans="1:6" s="2" customFormat="1" x14ac:dyDescent="0.25">
      <c r="A54" s="120">
        <v>45036</v>
      </c>
      <c r="B54" s="121">
        <f>3.51+20</f>
        <v>23.509999999999998</v>
      </c>
      <c r="C54" s="122" t="s">
        <v>213</v>
      </c>
      <c r="D54" s="122" t="s">
        <v>193</v>
      </c>
      <c r="E54" s="123" t="s">
        <v>174</v>
      </c>
      <c r="F54" s="1"/>
    </row>
    <row r="55" spans="1:6" s="2" customFormat="1" x14ac:dyDescent="0.25">
      <c r="A55" s="120">
        <v>45036</v>
      </c>
      <c r="B55" s="121">
        <f>70.59+90.1</f>
        <v>160.69</v>
      </c>
      <c r="C55" s="122" t="s">
        <v>213</v>
      </c>
      <c r="D55" s="122" t="s">
        <v>171</v>
      </c>
      <c r="E55" s="123" t="s">
        <v>174</v>
      </c>
      <c r="F55" s="1"/>
    </row>
    <row r="56" spans="1:6" s="2" customFormat="1" x14ac:dyDescent="0.25">
      <c r="A56" s="120">
        <v>45053</v>
      </c>
      <c r="B56" s="121">
        <f>293.14+13.64</f>
        <v>306.77999999999997</v>
      </c>
      <c r="C56" s="122" t="s">
        <v>204</v>
      </c>
      <c r="D56" s="122" t="s">
        <v>179</v>
      </c>
      <c r="E56" s="123" t="s">
        <v>173</v>
      </c>
      <c r="F56" s="1"/>
    </row>
    <row r="57" spans="1:6" s="2" customFormat="1" x14ac:dyDescent="0.25">
      <c r="A57" s="120">
        <v>45053</v>
      </c>
      <c r="B57" s="121">
        <f>3.51+20+20+20+5</f>
        <v>68.509999999999991</v>
      </c>
      <c r="C57" s="122" t="s">
        <v>204</v>
      </c>
      <c r="D57" s="122" t="s">
        <v>193</v>
      </c>
      <c r="E57" s="123" t="s">
        <v>173</v>
      </c>
      <c r="F57" s="1"/>
    </row>
    <row r="58" spans="1:6" s="2" customFormat="1" x14ac:dyDescent="0.25">
      <c r="A58" s="120">
        <v>45053</v>
      </c>
      <c r="B58" s="121">
        <f>75.27+96.8+67.91</f>
        <v>239.98</v>
      </c>
      <c r="C58" s="122" t="s">
        <v>204</v>
      </c>
      <c r="D58" s="122" t="s">
        <v>171</v>
      </c>
      <c r="E58" s="123" t="s">
        <v>173</v>
      </c>
      <c r="F58" s="1"/>
    </row>
    <row r="59" spans="1:6" s="2" customFormat="1" x14ac:dyDescent="0.25">
      <c r="A59" s="120">
        <v>45053</v>
      </c>
      <c r="B59" s="121">
        <v>171.62</v>
      </c>
      <c r="C59" s="122" t="s">
        <v>204</v>
      </c>
      <c r="D59" s="122" t="s">
        <v>181</v>
      </c>
      <c r="E59" s="123" t="s">
        <v>173</v>
      </c>
      <c r="F59" s="1"/>
    </row>
    <row r="60" spans="1:6" s="2" customFormat="1" ht="14.5" customHeight="1" x14ac:dyDescent="0.25">
      <c r="A60" s="120">
        <v>45068</v>
      </c>
      <c r="B60" s="121">
        <v>222.87</v>
      </c>
      <c r="C60" s="122" t="s">
        <v>270</v>
      </c>
      <c r="D60" s="122" t="s">
        <v>181</v>
      </c>
      <c r="E60" s="123" t="s">
        <v>216</v>
      </c>
      <c r="F60" s="1"/>
    </row>
    <row r="61" spans="1:6" s="2" customFormat="1" ht="14.5" customHeight="1" x14ac:dyDescent="0.25">
      <c r="A61" s="120">
        <v>45068</v>
      </c>
      <c r="B61" s="121">
        <v>168.7</v>
      </c>
      <c r="C61" s="122" t="s">
        <v>270</v>
      </c>
      <c r="D61" s="122" t="s">
        <v>180</v>
      </c>
      <c r="E61" s="123" t="s">
        <v>216</v>
      </c>
      <c r="F61" s="1"/>
    </row>
    <row r="62" spans="1:6" s="2" customFormat="1" ht="14.5" customHeight="1" x14ac:dyDescent="0.25">
      <c r="A62" s="120">
        <v>45068</v>
      </c>
      <c r="B62" s="121">
        <v>25.4</v>
      </c>
      <c r="C62" s="122" t="s">
        <v>270</v>
      </c>
      <c r="D62" s="122" t="s">
        <v>253</v>
      </c>
      <c r="E62" s="123" t="s">
        <v>216</v>
      </c>
      <c r="F62" s="1"/>
    </row>
    <row r="63" spans="1:6" s="2" customFormat="1" ht="14.5" customHeight="1" x14ac:dyDescent="0.25">
      <c r="A63" s="120">
        <v>45068</v>
      </c>
      <c r="B63" s="121">
        <f>5+5+3.51+20</f>
        <v>33.51</v>
      </c>
      <c r="C63" s="122" t="s">
        <v>270</v>
      </c>
      <c r="D63" s="122" t="s">
        <v>193</v>
      </c>
      <c r="E63" s="123" t="s">
        <v>216</v>
      </c>
      <c r="F63" s="1"/>
    </row>
    <row r="64" spans="1:6" s="2" customFormat="1" x14ac:dyDescent="0.25">
      <c r="A64" s="120">
        <v>45079</v>
      </c>
      <c r="B64" s="121">
        <v>51.19</v>
      </c>
      <c r="C64" s="122" t="s">
        <v>215</v>
      </c>
      <c r="D64" s="122" t="s">
        <v>181</v>
      </c>
      <c r="E64" s="123" t="s">
        <v>197</v>
      </c>
      <c r="F64" s="1"/>
    </row>
    <row r="65" spans="1:6" s="2" customFormat="1" x14ac:dyDescent="0.25">
      <c r="A65" s="120">
        <v>45079</v>
      </c>
      <c r="B65" s="121">
        <v>321.74</v>
      </c>
      <c r="C65" s="122" t="s">
        <v>215</v>
      </c>
      <c r="D65" s="122" t="s">
        <v>180</v>
      </c>
      <c r="E65" s="123" t="s">
        <v>197</v>
      </c>
      <c r="F65" s="1"/>
    </row>
    <row r="66" spans="1:6" s="2" customFormat="1" x14ac:dyDescent="0.25">
      <c r="A66" s="120">
        <v>45079</v>
      </c>
      <c r="B66" s="121">
        <v>494.26</v>
      </c>
      <c r="C66" s="122" t="s">
        <v>215</v>
      </c>
      <c r="D66" s="122" t="s">
        <v>179</v>
      </c>
      <c r="E66" s="123" t="s">
        <v>197</v>
      </c>
      <c r="F66" s="1"/>
    </row>
    <row r="67" spans="1:6" s="2" customFormat="1" x14ac:dyDescent="0.25">
      <c r="A67" s="120">
        <v>45079</v>
      </c>
      <c r="B67" s="121">
        <f>3.51+5+5</f>
        <v>13.51</v>
      </c>
      <c r="C67" s="122" t="s">
        <v>215</v>
      </c>
      <c r="D67" s="122" t="s">
        <v>193</v>
      </c>
      <c r="E67" s="123" t="s">
        <v>197</v>
      </c>
      <c r="F67" s="1"/>
    </row>
    <row r="68" spans="1:6" s="2" customFormat="1" x14ac:dyDescent="0.25">
      <c r="A68" s="120">
        <v>45079</v>
      </c>
      <c r="B68" s="121">
        <v>56.43</v>
      </c>
      <c r="C68" s="122" t="s">
        <v>215</v>
      </c>
      <c r="D68" s="122" t="s">
        <v>171</v>
      </c>
      <c r="E68" s="123" t="s">
        <v>197</v>
      </c>
      <c r="F68" s="1"/>
    </row>
    <row r="69" spans="1:6" s="2" customFormat="1" x14ac:dyDescent="0.25">
      <c r="A69" s="120"/>
      <c r="B69" s="121"/>
      <c r="C69" s="122"/>
      <c r="D69" s="122"/>
      <c r="E69" s="123"/>
      <c r="F69" s="1"/>
    </row>
    <row r="70" spans="1:6" s="2" customFormat="1" x14ac:dyDescent="0.25">
      <c r="A70" s="110"/>
      <c r="B70" s="111"/>
      <c r="C70" s="112"/>
      <c r="D70" s="112"/>
      <c r="E70" s="113"/>
      <c r="F70" s="1"/>
    </row>
    <row r="71" spans="1:6" ht="19.5" customHeight="1" x14ac:dyDescent="0.25">
      <c r="A71" s="72" t="s">
        <v>125</v>
      </c>
      <c r="B71" s="73">
        <f>SUM(B22:B70)</f>
        <v>9363.32</v>
      </c>
      <c r="C71" s="131" t="str">
        <f>IF(SUBTOTAL(3,B22:B70)=SUBTOTAL(103,B22:B70),'Summary and sign-off Kaihautu'!$A$48,'Summary and sign-off Kaihautu'!$A$49)</f>
        <v>Check - there are no hidden rows with data</v>
      </c>
      <c r="D71" s="139" t="str">
        <f>IF('Summary and sign-off Kaihautu'!F56='Summary and sign-off Kaihautu'!F54,'Summary and sign-off Kaihautu'!A51,'Summary and sign-off Kaihautu'!A50)</f>
        <v>Check - each entry provides sufficient information</v>
      </c>
      <c r="E71" s="139"/>
      <c r="F71" s="17"/>
    </row>
    <row r="72" spans="1:6" ht="10.5" customHeight="1" x14ac:dyDescent="0.3">
      <c r="A72" s="17"/>
      <c r="B72" s="19"/>
      <c r="C72" s="17"/>
      <c r="D72" s="17"/>
      <c r="E72" s="17"/>
      <c r="F72" s="17"/>
    </row>
    <row r="73" spans="1:6" ht="24.75" customHeight="1" x14ac:dyDescent="0.25">
      <c r="A73" s="140" t="s">
        <v>126</v>
      </c>
      <c r="B73" s="140"/>
      <c r="C73" s="140"/>
      <c r="D73" s="140"/>
      <c r="E73" s="140"/>
      <c r="F73" s="17"/>
    </row>
    <row r="74" spans="1:6" ht="27" customHeight="1" x14ac:dyDescent="0.25">
      <c r="A74" s="24" t="s">
        <v>117</v>
      </c>
      <c r="B74" s="24" t="s">
        <v>62</v>
      </c>
      <c r="C74" s="24" t="s">
        <v>127</v>
      </c>
      <c r="D74" s="24" t="s">
        <v>128</v>
      </c>
      <c r="E74" s="24" t="s">
        <v>121</v>
      </c>
      <c r="F74" s="28"/>
    </row>
    <row r="75" spans="1:6" s="2" customFormat="1" hidden="1" x14ac:dyDescent="0.25">
      <c r="A75" s="96"/>
      <c r="B75" s="97"/>
      <c r="C75" s="98"/>
      <c r="D75" s="98"/>
      <c r="E75" s="99"/>
      <c r="F75" s="1"/>
    </row>
    <row r="76" spans="1:6" s="2" customFormat="1" x14ac:dyDescent="0.25">
      <c r="A76" s="120">
        <v>44819</v>
      </c>
      <c r="B76" s="121">
        <v>33.19</v>
      </c>
      <c r="C76" s="122" t="s">
        <v>175</v>
      </c>
      <c r="D76" s="122" t="s">
        <v>171</v>
      </c>
      <c r="E76" s="123" t="s">
        <v>172</v>
      </c>
      <c r="F76" s="1"/>
    </row>
    <row r="77" spans="1:6" s="2" customFormat="1" x14ac:dyDescent="0.25">
      <c r="A77" s="120">
        <v>44848</v>
      </c>
      <c r="B77" s="121">
        <v>42.27</v>
      </c>
      <c r="C77" s="122" t="s">
        <v>175</v>
      </c>
      <c r="D77" s="122" t="s">
        <v>171</v>
      </c>
      <c r="E77" s="123" t="s">
        <v>172</v>
      </c>
      <c r="F77" s="1"/>
    </row>
    <row r="78" spans="1:6" s="2" customFormat="1" x14ac:dyDescent="0.25">
      <c r="A78" s="120">
        <v>44865</v>
      </c>
      <c r="B78" s="121">
        <v>26.31</v>
      </c>
      <c r="C78" s="122" t="s">
        <v>175</v>
      </c>
      <c r="D78" s="122" t="s">
        <v>171</v>
      </c>
      <c r="E78" s="123" t="s">
        <v>172</v>
      </c>
      <c r="F78" s="1"/>
    </row>
    <row r="79" spans="1:6" s="2" customFormat="1" x14ac:dyDescent="0.25">
      <c r="A79" s="120">
        <v>45046</v>
      </c>
      <c r="B79" s="121">
        <v>13.67</v>
      </c>
      <c r="C79" s="122" t="s">
        <v>175</v>
      </c>
      <c r="D79" s="122" t="s">
        <v>171</v>
      </c>
      <c r="E79" s="123" t="s">
        <v>172</v>
      </c>
      <c r="F79" s="1"/>
    </row>
    <row r="80" spans="1:6" s="2" customFormat="1" x14ac:dyDescent="0.25">
      <c r="A80" s="120">
        <v>45077</v>
      </c>
      <c r="B80" s="121">
        <f>43.04+41.33</f>
        <v>84.37</v>
      </c>
      <c r="C80" s="122" t="s">
        <v>175</v>
      </c>
      <c r="D80" s="122" t="s">
        <v>171</v>
      </c>
      <c r="E80" s="123" t="s">
        <v>172</v>
      </c>
      <c r="F80" s="1"/>
    </row>
    <row r="81" spans="1:6" s="2" customFormat="1" x14ac:dyDescent="0.25">
      <c r="A81" s="120">
        <v>45107</v>
      </c>
      <c r="B81" s="121">
        <f>15.87+15.69+15.87</f>
        <v>47.43</v>
      </c>
      <c r="C81" s="122" t="s">
        <v>175</v>
      </c>
      <c r="D81" s="122" t="s">
        <v>171</v>
      </c>
      <c r="E81" s="123" t="s">
        <v>172</v>
      </c>
      <c r="F81" s="1"/>
    </row>
    <row r="82" spans="1:6" s="2" customFormat="1" x14ac:dyDescent="0.25">
      <c r="A82" s="120"/>
      <c r="B82" s="121"/>
      <c r="C82" s="122"/>
      <c r="D82" s="122"/>
      <c r="E82" s="123"/>
      <c r="F82" s="1"/>
    </row>
    <row r="83" spans="1:6" s="2" customFormat="1" x14ac:dyDescent="0.25">
      <c r="A83" s="120"/>
      <c r="B83" s="121"/>
      <c r="C83" s="122"/>
      <c r="D83" s="122"/>
      <c r="E83" s="123"/>
      <c r="F83" s="1"/>
    </row>
    <row r="84" spans="1:6" s="2" customFormat="1" x14ac:dyDescent="0.25">
      <c r="A84" s="120"/>
      <c r="B84" s="121"/>
      <c r="C84" s="122"/>
      <c r="D84" s="122"/>
      <c r="E84" s="123"/>
      <c r="F84" s="1"/>
    </row>
    <row r="85" spans="1:6" s="2" customFormat="1" x14ac:dyDescent="0.25">
      <c r="A85" s="120"/>
      <c r="B85" s="121"/>
      <c r="C85" s="122"/>
      <c r="D85" s="122"/>
      <c r="E85" s="123"/>
      <c r="F85" s="1"/>
    </row>
    <row r="86" spans="1:6" s="2" customFormat="1" hidden="1" x14ac:dyDescent="0.25">
      <c r="A86" s="96"/>
      <c r="B86" s="97"/>
      <c r="C86" s="98"/>
      <c r="D86" s="98"/>
      <c r="E86" s="99"/>
      <c r="F86" s="1"/>
    </row>
    <row r="87" spans="1:6" ht="19.5" customHeight="1" x14ac:dyDescent="0.25">
      <c r="A87" s="72" t="s">
        <v>129</v>
      </c>
      <c r="B87" s="73">
        <f>SUM(B75:B86)</f>
        <v>247.24</v>
      </c>
      <c r="C87" s="131" t="str">
        <f>IF(SUBTOTAL(3,B75:B86)=SUBTOTAL(103,B75:B86),'Summary and sign-off Kaihautu'!$A$48,'Summary and sign-off Kaihautu'!$A$49)</f>
        <v>Check - there are no hidden rows with data</v>
      </c>
      <c r="D87" s="139" t="str">
        <f>IF('Summary and sign-off Kaihautu'!F57='Summary and sign-off Kaihautu'!F54,'Summary and sign-off Kaihautu'!A51,'Summary and sign-off Kaihautu'!A50)</f>
        <v>Check - each entry provides sufficient information</v>
      </c>
      <c r="E87" s="139"/>
      <c r="F87" s="17"/>
    </row>
    <row r="88" spans="1:6" ht="10.5" customHeight="1" x14ac:dyDescent="0.3">
      <c r="A88" s="17"/>
      <c r="B88" s="58"/>
      <c r="C88" s="19"/>
      <c r="D88" s="17"/>
      <c r="E88" s="17"/>
      <c r="F88" s="17"/>
    </row>
    <row r="89" spans="1:6" ht="34.5" customHeight="1" x14ac:dyDescent="0.25">
      <c r="A89" s="31" t="s">
        <v>130</v>
      </c>
      <c r="B89" s="59">
        <f>B18+B71+B87</f>
        <v>21671.510000000002</v>
      </c>
      <c r="C89" s="32"/>
      <c r="D89" s="32"/>
      <c r="E89" s="32"/>
      <c r="F89" s="17"/>
    </row>
    <row r="90" spans="1:6" ht="13" x14ac:dyDescent="0.3">
      <c r="A90" s="17"/>
      <c r="B90" s="19"/>
      <c r="C90" s="17"/>
      <c r="D90" s="17"/>
      <c r="E90" s="17"/>
      <c r="F90" s="17"/>
    </row>
    <row r="91" spans="1:6" ht="13" x14ac:dyDescent="0.3">
      <c r="A91" s="18" t="s">
        <v>73</v>
      </c>
      <c r="B91" s="19"/>
      <c r="C91" s="17"/>
      <c r="D91" s="17"/>
      <c r="E91" s="17"/>
      <c r="F91" s="17"/>
    </row>
    <row r="92" spans="1:6" ht="12.65" customHeight="1" x14ac:dyDescent="0.25">
      <c r="A92" s="20" t="s">
        <v>131</v>
      </c>
      <c r="F92" s="17"/>
    </row>
    <row r="93" spans="1:6" ht="13" customHeight="1" x14ac:dyDescent="0.25">
      <c r="A93" s="20" t="s">
        <v>132</v>
      </c>
      <c r="B93" s="17"/>
      <c r="D93" s="17"/>
      <c r="F93" s="17"/>
    </row>
    <row r="94" spans="1:6" x14ac:dyDescent="0.25">
      <c r="A94" s="20" t="s">
        <v>133</v>
      </c>
      <c r="F94" s="17"/>
    </row>
    <row r="95" spans="1:6" ht="13" x14ac:dyDescent="0.3">
      <c r="A95" s="20" t="s">
        <v>79</v>
      </c>
      <c r="B95" s="19"/>
      <c r="C95" s="17"/>
      <c r="D95" s="17"/>
      <c r="E95" s="17"/>
      <c r="F95" s="17"/>
    </row>
    <row r="96" spans="1:6" ht="13" customHeight="1" x14ac:dyDescent="0.25">
      <c r="A96" s="20" t="s">
        <v>134</v>
      </c>
      <c r="B96" s="17"/>
      <c r="D96" s="17"/>
      <c r="F96" s="17"/>
    </row>
    <row r="97" spans="1:6" x14ac:dyDescent="0.25">
      <c r="A97" s="20" t="s">
        <v>135</v>
      </c>
      <c r="F97" s="17"/>
    </row>
    <row r="98" spans="1:6" x14ac:dyDescent="0.25">
      <c r="A98" s="20" t="s">
        <v>136</v>
      </c>
      <c r="B98" s="20"/>
      <c r="C98" s="20"/>
      <c r="D98" s="20"/>
      <c r="F98" s="17"/>
    </row>
    <row r="99" spans="1:6" x14ac:dyDescent="0.25">
      <c r="A99" s="26"/>
      <c r="B99" s="17"/>
      <c r="C99" s="17"/>
      <c r="D99" s="17"/>
      <c r="E99" s="17"/>
      <c r="F99" s="17"/>
    </row>
    <row r="100" spans="1:6" hidden="1" x14ac:dyDescent="0.25">
      <c r="A100" s="26"/>
      <c r="B100" s="17"/>
      <c r="C100" s="17"/>
      <c r="D100" s="17"/>
      <c r="E100" s="17"/>
      <c r="F100" s="17"/>
    </row>
    <row r="101" spans="1:6" x14ac:dyDescent="0.25"/>
    <row r="102" spans="1:6" x14ac:dyDescent="0.25"/>
    <row r="103" spans="1:6" x14ac:dyDescent="0.25"/>
    <row r="104" spans="1:6" x14ac:dyDescent="0.25"/>
    <row r="105" spans="1:6" ht="12.75" hidden="1" customHeight="1" x14ac:dyDescent="0.25"/>
    <row r="106" spans="1:6" x14ac:dyDescent="0.25"/>
    <row r="107" spans="1:6" x14ac:dyDescent="0.25"/>
    <row r="108" spans="1:6" hidden="1" x14ac:dyDescent="0.25">
      <c r="A108" s="26"/>
      <c r="B108" s="17"/>
      <c r="C108" s="17"/>
      <c r="D108" s="17"/>
      <c r="E108" s="17"/>
      <c r="F108" s="17"/>
    </row>
    <row r="109" spans="1:6" hidden="1" x14ac:dyDescent="0.25">
      <c r="A109" s="26"/>
      <c r="B109" s="17"/>
      <c r="C109" s="17"/>
      <c r="D109" s="17"/>
      <c r="E109" s="17"/>
      <c r="F109" s="17"/>
    </row>
    <row r="110" spans="1:6" hidden="1" x14ac:dyDescent="0.25">
      <c r="A110" s="26"/>
      <c r="B110" s="17"/>
      <c r="C110" s="17"/>
      <c r="D110" s="17"/>
      <c r="E110" s="17"/>
      <c r="F110" s="17"/>
    </row>
    <row r="111" spans="1:6" hidden="1" x14ac:dyDescent="0.25">
      <c r="A111" s="26"/>
      <c r="B111" s="17"/>
      <c r="C111" s="17"/>
      <c r="D111" s="17"/>
      <c r="E111" s="17"/>
      <c r="F111" s="17"/>
    </row>
    <row r="112" spans="1:6" hidden="1" x14ac:dyDescent="0.25">
      <c r="A112" s="26"/>
      <c r="B112" s="17"/>
      <c r="C112" s="17"/>
      <c r="D112" s="17"/>
      <c r="E112" s="17"/>
      <c r="F112" s="17"/>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sheetData>
  <sheetProtection sheet="1" formatCells="0" formatRows="0" insertColumns="0" insertRows="0" deleteRows="0"/>
  <mergeCells count="15">
    <mergeCell ref="D71:E71"/>
    <mergeCell ref="A73:E73"/>
    <mergeCell ref="D87:E87"/>
    <mergeCell ref="B7:E7"/>
    <mergeCell ref="A8:E8"/>
    <mergeCell ref="A9:E9"/>
    <mergeCell ref="A10:E10"/>
    <mergeCell ref="D18:E18"/>
    <mergeCell ref="A20:E20"/>
    <mergeCell ref="B6:E6"/>
    <mergeCell ref="A1:E1"/>
    <mergeCell ref="B2:E2"/>
    <mergeCell ref="B3:E3"/>
    <mergeCell ref="B4:E4"/>
    <mergeCell ref="B5:E5"/>
  </mergeCells>
  <dataValidations xWindow="137" yWindow="686"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6:A85 A23:A69 A13:A16" xr:uid="{00000000-0002-0000-07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4 A21 A11" xr:uid="{00000000-0002-0000-07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7 A75 A86 A70" xr:uid="{00000000-0002-0000-07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7" yWindow="686" count="3">
        <x14:dataValidation type="decimal" operator="greaterThan" allowBlank="1" showInputMessage="1" showErrorMessage="1" error="This cell must contain a dollar figure" xr:uid="{00000000-0002-0000-0700-000003000000}">
          <x14:formula1>
            <xm:f>'Summary and sign-off Kaihautu'!$A$47</xm:f>
          </x14:formula1>
          <xm:sqref>B75:B86 B22:B70 B12:B17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7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700-000005000000}">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62"/>
  <sheetViews>
    <sheetView workbookViewId="0">
      <selection activeCell="C12" sqref="C12"/>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5" t="s">
        <v>109</v>
      </c>
      <c r="B1" s="135"/>
      <c r="C1" s="135"/>
      <c r="D1" s="135"/>
      <c r="E1" s="135"/>
    </row>
    <row r="2" spans="1:6" ht="21" customHeight="1" x14ac:dyDescent="0.25">
      <c r="A2" s="3" t="s">
        <v>52</v>
      </c>
      <c r="B2" s="138" t="str">
        <f>'Summary and sign-off Kaihautu'!B2:F2</f>
        <v>Museum of New Zealand Te Papa Tongarewa</v>
      </c>
      <c r="C2" s="138"/>
      <c r="D2" s="138"/>
      <c r="E2" s="138"/>
    </row>
    <row r="3" spans="1:6" ht="21" customHeight="1" x14ac:dyDescent="0.25">
      <c r="A3" s="3" t="s">
        <v>110</v>
      </c>
      <c r="B3" s="138" t="str">
        <f>'Summary and sign-off Kaihautu'!B3:F3</f>
        <v>Arapata Hakiwai</v>
      </c>
      <c r="C3" s="138"/>
      <c r="D3" s="138"/>
      <c r="E3" s="138"/>
    </row>
    <row r="4" spans="1:6" ht="21" customHeight="1" x14ac:dyDescent="0.25">
      <c r="A4" s="3" t="s">
        <v>111</v>
      </c>
      <c r="B4" s="138">
        <f>'Summary and sign-off Kaihautu'!B4:F4</f>
        <v>44743</v>
      </c>
      <c r="C4" s="138"/>
      <c r="D4" s="138"/>
      <c r="E4" s="138"/>
    </row>
    <row r="5" spans="1:6" ht="21" customHeight="1" x14ac:dyDescent="0.25">
      <c r="A5" s="3" t="s">
        <v>112</v>
      </c>
      <c r="B5" s="138">
        <f>'Summary and sign-off Kaihautu'!B5:F5</f>
        <v>45107</v>
      </c>
      <c r="C5" s="138"/>
      <c r="D5" s="138"/>
      <c r="E5" s="138"/>
    </row>
    <row r="6" spans="1:6" ht="21" customHeight="1" x14ac:dyDescent="0.25">
      <c r="A6" s="3" t="s">
        <v>113</v>
      </c>
      <c r="B6" s="133" t="s">
        <v>81</v>
      </c>
      <c r="C6" s="133"/>
      <c r="D6" s="133"/>
      <c r="E6" s="133"/>
    </row>
    <row r="7" spans="1:6" ht="21" customHeight="1" x14ac:dyDescent="0.25">
      <c r="A7" s="3" t="s">
        <v>56</v>
      </c>
      <c r="B7" s="133" t="s">
        <v>83</v>
      </c>
      <c r="C7" s="133"/>
      <c r="D7" s="133"/>
      <c r="E7" s="133"/>
    </row>
    <row r="8" spans="1:6" ht="35.25" customHeight="1" x14ac:dyDescent="0.35">
      <c r="A8" s="148" t="s">
        <v>137</v>
      </c>
      <c r="B8" s="148"/>
      <c r="C8" s="149"/>
      <c r="D8" s="149"/>
      <c r="E8" s="149"/>
      <c r="F8" s="27"/>
    </row>
    <row r="9" spans="1:6" ht="35.25" customHeight="1" x14ac:dyDescent="0.35">
      <c r="A9" s="146" t="s">
        <v>138</v>
      </c>
      <c r="B9" s="147"/>
      <c r="C9" s="147"/>
      <c r="D9" s="147"/>
      <c r="E9" s="147"/>
      <c r="F9" s="27"/>
    </row>
    <row r="10" spans="1:6" ht="27" customHeight="1" x14ac:dyDescent="0.25">
      <c r="A10" s="24" t="s">
        <v>139</v>
      </c>
      <c r="B10" s="24" t="s">
        <v>62</v>
      </c>
      <c r="C10" s="24" t="s">
        <v>140</v>
      </c>
      <c r="D10" s="24" t="s">
        <v>141</v>
      </c>
      <c r="E10" s="24" t="s">
        <v>121</v>
      </c>
      <c r="F10" s="20"/>
    </row>
    <row r="11" spans="1:6" s="2" customFormat="1" ht="12.5" hidden="1" x14ac:dyDescent="0.25">
      <c r="A11" s="100"/>
      <c r="B11" s="97"/>
      <c r="C11" s="101"/>
      <c r="D11" s="101"/>
      <c r="E11" s="102"/>
    </row>
    <row r="12" spans="1:6" s="2" customFormat="1" ht="12.5" x14ac:dyDescent="0.25">
      <c r="A12" s="120">
        <v>44823</v>
      </c>
      <c r="B12" s="121">
        <v>20.74</v>
      </c>
      <c r="C12" s="125" t="s">
        <v>255</v>
      </c>
      <c r="D12" s="125" t="s">
        <v>256</v>
      </c>
      <c r="E12" s="126" t="s">
        <v>172</v>
      </c>
    </row>
    <row r="13" spans="1:6" s="2" customFormat="1" ht="12.5" x14ac:dyDescent="0.25">
      <c r="A13" s="120">
        <v>44827</v>
      </c>
      <c r="B13" s="121">
        <v>91.81</v>
      </c>
      <c r="C13" s="125" t="s">
        <v>257</v>
      </c>
      <c r="D13" s="125" t="s">
        <v>258</v>
      </c>
      <c r="E13" s="126" t="s">
        <v>172</v>
      </c>
    </row>
    <row r="14" spans="1:6" s="2" customFormat="1" ht="12.5" x14ac:dyDescent="0.25">
      <c r="A14" s="120">
        <v>44853</v>
      </c>
      <c r="B14" s="121">
        <v>11.7</v>
      </c>
      <c r="C14" s="125" t="s">
        <v>259</v>
      </c>
      <c r="D14" s="125" t="s">
        <v>182</v>
      </c>
      <c r="E14" s="126" t="s">
        <v>172</v>
      </c>
    </row>
    <row r="15" spans="1:6" s="2" customFormat="1" ht="12.5" x14ac:dyDescent="0.25">
      <c r="A15" s="120">
        <v>44854</v>
      </c>
      <c r="B15" s="121">
        <v>19.96</v>
      </c>
      <c r="C15" s="125" t="s">
        <v>261</v>
      </c>
      <c r="D15" s="125" t="s">
        <v>182</v>
      </c>
      <c r="E15" s="126" t="s">
        <v>172</v>
      </c>
    </row>
    <row r="16" spans="1:6" s="2" customFormat="1" ht="12.5" x14ac:dyDescent="0.25">
      <c r="A16" s="120"/>
      <c r="B16" s="121"/>
      <c r="C16" s="125"/>
      <c r="D16" s="125"/>
      <c r="E16" s="126"/>
    </row>
    <row r="17" spans="1:6" s="2" customFormat="1" ht="12.5" x14ac:dyDescent="0.25">
      <c r="A17" s="120"/>
      <c r="B17" s="121"/>
      <c r="C17" s="125"/>
      <c r="D17" s="125"/>
      <c r="E17" s="126"/>
    </row>
    <row r="18" spans="1:6" s="2" customFormat="1" ht="12.5" x14ac:dyDescent="0.25">
      <c r="A18" s="120"/>
      <c r="B18" s="121"/>
      <c r="C18" s="125"/>
      <c r="D18" s="125"/>
      <c r="E18" s="126"/>
    </row>
    <row r="19" spans="1:6" s="2" customFormat="1" ht="12.5" x14ac:dyDescent="0.25">
      <c r="A19" s="120"/>
      <c r="B19" s="121"/>
      <c r="C19" s="125"/>
      <c r="D19" s="125"/>
      <c r="E19" s="126"/>
    </row>
    <row r="20" spans="1:6" s="2" customFormat="1" ht="12.5" x14ac:dyDescent="0.25">
      <c r="A20" s="120"/>
      <c r="B20" s="121"/>
      <c r="C20" s="125"/>
      <c r="D20" s="125"/>
      <c r="E20" s="126"/>
    </row>
    <row r="21" spans="1:6" s="2" customFormat="1" ht="12.5" x14ac:dyDescent="0.25">
      <c r="A21" s="120"/>
      <c r="B21" s="121"/>
      <c r="C21" s="125"/>
      <c r="D21" s="125"/>
      <c r="E21" s="126"/>
    </row>
    <row r="22" spans="1:6" s="2" customFormat="1" ht="12.5" x14ac:dyDescent="0.25">
      <c r="A22" s="120"/>
      <c r="B22" s="121"/>
      <c r="C22" s="125"/>
      <c r="D22" s="125"/>
      <c r="E22" s="126"/>
    </row>
    <row r="23" spans="1:6" s="2" customFormat="1" ht="12.5" x14ac:dyDescent="0.25">
      <c r="A23" s="120"/>
      <c r="B23" s="121"/>
      <c r="C23" s="125"/>
      <c r="D23" s="125"/>
      <c r="E23" s="126"/>
    </row>
    <row r="24" spans="1:6" s="2" customFormat="1" ht="12.5" x14ac:dyDescent="0.25">
      <c r="A24" s="120"/>
      <c r="B24" s="121"/>
      <c r="C24" s="125"/>
      <c r="D24" s="125"/>
      <c r="E24" s="126"/>
    </row>
    <row r="25" spans="1:6" s="2" customFormat="1" ht="11.25" hidden="1" customHeight="1" x14ac:dyDescent="0.25">
      <c r="A25" s="100"/>
      <c r="B25" s="97"/>
      <c r="C25" s="101"/>
      <c r="D25" s="101"/>
      <c r="E25" s="102"/>
    </row>
    <row r="26" spans="1:6" ht="34.5" customHeight="1" x14ac:dyDescent="0.25">
      <c r="A26" s="54" t="s">
        <v>142</v>
      </c>
      <c r="B26" s="63">
        <f>SUM(B11:B25)</f>
        <v>144.21</v>
      </c>
      <c r="C26" s="71" t="str">
        <f>IF(SUBTOTAL(3,B11:B25)=SUBTOTAL(103,B11:B25),'Summary and sign-off Kaihautu'!$A$48,'Summary and sign-off Kaihautu'!$A$49)</f>
        <v>Check - there are no hidden rows with data</v>
      </c>
      <c r="D26" s="139" t="str">
        <f>IF('Summary and sign-off Kaihautu'!F58='Summary and sign-off Kaihautu'!F54,'Summary and sign-off Kaihautu'!A51,'Summary and sign-off Kaihautu'!A50)</f>
        <v>Check - each entry provides sufficient information</v>
      </c>
      <c r="E26" s="139"/>
      <c r="F26" s="2"/>
    </row>
    <row r="27" spans="1:6" ht="13" x14ac:dyDescent="0.3">
      <c r="A27" s="18"/>
      <c r="B27" s="17"/>
      <c r="C27" s="17"/>
      <c r="D27" s="17"/>
      <c r="E27" s="17"/>
    </row>
    <row r="28" spans="1:6" ht="13" x14ac:dyDescent="0.3">
      <c r="A28" s="18" t="s">
        <v>73</v>
      </c>
      <c r="B28" s="19"/>
      <c r="C28" s="17"/>
      <c r="D28" s="17"/>
      <c r="E28" s="17"/>
    </row>
    <row r="29" spans="1:6" ht="12.75" customHeight="1" x14ac:dyDescent="0.25">
      <c r="A29" s="20" t="s">
        <v>143</v>
      </c>
      <c r="B29" s="20"/>
      <c r="C29" s="20"/>
      <c r="D29" s="20"/>
      <c r="E29" s="20"/>
    </row>
    <row r="30" spans="1:6" ht="12.5" x14ac:dyDescent="0.25">
      <c r="A30" s="20" t="s">
        <v>144</v>
      </c>
      <c r="B30" s="20"/>
      <c r="C30" s="28"/>
      <c r="D30" s="28"/>
      <c r="E30" s="28"/>
    </row>
    <row r="31" spans="1:6" ht="13" x14ac:dyDescent="0.3">
      <c r="A31" s="20" t="s">
        <v>79</v>
      </c>
      <c r="B31" s="19"/>
      <c r="C31" s="17"/>
      <c r="D31" s="17"/>
      <c r="E31" s="17"/>
      <c r="F31" s="17"/>
    </row>
    <row r="32" spans="1:6" ht="12.5" x14ac:dyDescent="0.25">
      <c r="A32" s="20" t="s">
        <v>145</v>
      </c>
      <c r="B32" s="20"/>
      <c r="C32" s="28"/>
      <c r="D32" s="28"/>
      <c r="E32" s="28"/>
    </row>
    <row r="33" spans="1:5" ht="12.75" customHeight="1" x14ac:dyDescent="0.25">
      <c r="A33" s="20" t="s">
        <v>146</v>
      </c>
      <c r="B33" s="20"/>
      <c r="C33" s="22"/>
      <c r="D33" s="22"/>
      <c r="E33" s="22"/>
    </row>
    <row r="34" spans="1:5" ht="12.5" x14ac:dyDescent="0.25">
      <c r="A34" s="17"/>
      <c r="B34" s="17"/>
      <c r="C34" s="17"/>
      <c r="D34" s="17"/>
      <c r="E34" s="17"/>
    </row>
    <row r="35" spans="1:5" ht="12.5" hidden="1" x14ac:dyDescent="0.25"/>
    <row r="36" spans="1:5" ht="12.5" hidden="1" x14ac:dyDescent="0.25"/>
    <row r="37" spans="1:5" ht="12.5" hidden="1" x14ac:dyDescent="0.25"/>
    <row r="38" spans="1:5" ht="12.5" hidden="1" x14ac:dyDescent="0.25"/>
    <row r="39" spans="1:5" ht="12.5" hidden="1" x14ac:dyDescent="0.25"/>
    <row r="40" spans="1:5" ht="12.5" hidden="1" x14ac:dyDescent="0.25"/>
    <row r="41" spans="1:5" ht="12.5" hidden="1" x14ac:dyDescent="0.25"/>
    <row r="42" spans="1:5" ht="12.5" hidden="1" x14ac:dyDescent="0.25"/>
    <row r="43" spans="1:5" ht="12.5" hidden="1" x14ac:dyDescent="0.25"/>
    <row r="44" spans="1:5" ht="12.5" hidden="1" x14ac:dyDescent="0.25"/>
    <row r="45" spans="1:5" ht="12.5" hidden="1" x14ac:dyDescent="0.25"/>
    <row r="46" spans="1:5" ht="12.5" hidden="1" x14ac:dyDescent="0.25"/>
    <row r="47" spans="1:5" ht="12.5" hidden="1" x14ac:dyDescent="0.25"/>
    <row r="48" spans="1:5" ht="12.5" hidden="1" x14ac:dyDescent="0.25"/>
    <row r="49" ht="12.5" hidden="1" x14ac:dyDescent="0.25"/>
    <row r="50" ht="12.5" hidden="1" x14ac:dyDescent="0.25"/>
    <row r="51" ht="12.5" hidden="1" x14ac:dyDescent="0.25"/>
    <row r="52" ht="12.5" hidden="1" x14ac:dyDescent="0.25"/>
    <row r="53" ht="12.5" hidden="1" x14ac:dyDescent="0.25"/>
    <row r="54" ht="12.5" x14ac:dyDescent="0.25"/>
    <row r="55" ht="12.5" x14ac:dyDescent="0.25"/>
    <row r="56" ht="12.5" x14ac:dyDescent="0.25"/>
    <row r="57" ht="12.5" x14ac:dyDescent="0.25"/>
    <row r="58" ht="12.5" x14ac:dyDescent="0.25"/>
    <row r="59" ht="12.5" x14ac:dyDescent="0.25"/>
    <row r="60" ht="12.75" customHeight="1" x14ac:dyDescent="0.25"/>
    <row r="61" ht="12.75" customHeight="1" x14ac:dyDescent="0.25"/>
    <row r="62" ht="12.75" customHeight="1" x14ac:dyDescent="0.25"/>
  </sheetData>
  <sheetProtection sheet="1" formatCells="0" insertRows="0" deleteRows="0"/>
  <mergeCells count="10">
    <mergeCell ref="B7:E7"/>
    <mergeCell ref="A8:E8"/>
    <mergeCell ref="A9:E9"/>
    <mergeCell ref="D26:E26"/>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8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24 A12:A19" xr:uid="{00000000-0002-0000-08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4000000}">
          <x14:formula1>
            <xm:f>'Summary and sign-off Kaihautu'!$A$27:$A$28</xm:f>
          </x14:formula1>
          <xm:sqref>B6:E6</xm:sqref>
        </x14:dataValidation>
        <x14:dataValidation type="decimal" operator="greaterThan" allowBlank="1" showInputMessage="1" showErrorMessage="1" error="This cell must contain a dollar figure" xr:uid="{00000000-0002-0000-0800-000005000000}">
          <x14:formula1>
            <xm:f>'Summary and sign-off Kaihautu'!$A$47</xm:f>
          </x14:formula1>
          <xm:sqref>B20:B25 B11:B19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M59"/>
  <sheetViews>
    <sheetView topLeftCell="A9" workbookViewId="0">
      <selection activeCell="C24" sqref="C24"/>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5" t="s">
        <v>109</v>
      </c>
      <c r="B1" s="135"/>
      <c r="C1" s="135"/>
      <c r="D1" s="135"/>
      <c r="E1" s="135"/>
    </row>
    <row r="2" spans="1:6" ht="21" customHeight="1" x14ac:dyDescent="0.25">
      <c r="A2" s="3" t="s">
        <v>52</v>
      </c>
      <c r="B2" s="138" t="str">
        <f>'Summary and sign-off Kaihautu'!B2:F2</f>
        <v>Museum of New Zealand Te Papa Tongarewa</v>
      </c>
      <c r="C2" s="138"/>
      <c r="D2" s="138"/>
      <c r="E2" s="138"/>
    </row>
    <row r="3" spans="1:6" ht="21" customHeight="1" x14ac:dyDescent="0.25">
      <c r="A3" s="3" t="s">
        <v>110</v>
      </c>
      <c r="B3" s="138" t="str">
        <f>'Summary and sign-off Kaihautu'!B3:F3</f>
        <v>Arapata Hakiwai</v>
      </c>
      <c r="C3" s="138"/>
      <c r="D3" s="138"/>
      <c r="E3" s="138"/>
    </row>
    <row r="4" spans="1:6" ht="21" customHeight="1" x14ac:dyDescent="0.25">
      <c r="A4" s="3" t="s">
        <v>111</v>
      </c>
      <c r="B4" s="138">
        <f>'Summary and sign-off Kaihautu'!B4:F4</f>
        <v>44743</v>
      </c>
      <c r="C4" s="138"/>
      <c r="D4" s="138"/>
      <c r="E4" s="138"/>
    </row>
    <row r="5" spans="1:6" ht="21" customHeight="1" x14ac:dyDescent="0.25">
      <c r="A5" s="3" t="s">
        <v>112</v>
      </c>
      <c r="B5" s="138">
        <f>'Summary and sign-off Kaihautu'!B5:F5</f>
        <v>45107</v>
      </c>
      <c r="C5" s="138"/>
      <c r="D5" s="138"/>
      <c r="E5" s="138"/>
    </row>
    <row r="6" spans="1:6" ht="21" customHeight="1" x14ac:dyDescent="0.25">
      <c r="A6" s="3" t="s">
        <v>113</v>
      </c>
      <c r="B6" s="133" t="s">
        <v>81</v>
      </c>
      <c r="C6" s="133"/>
      <c r="D6" s="133"/>
      <c r="E6" s="133"/>
      <c r="F6" s="23"/>
    </row>
    <row r="7" spans="1:6" ht="21" customHeight="1" x14ac:dyDescent="0.25">
      <c r="A7" s="3" t="s">
        <v>56</v>
      </c>
      <c r="B7" s="133" t="s">
        <v>83</v>
      </c>
      <c r="C7" s="133"/>
      <c r="D7" s="133"/>
      <c r="E7" s="133"/>
      <c r="F7" s="23"/>
    </row>
    <row r="8" spans="1:6" ht="35.25" customHeight="1" x14ac:dyDescent="0.25">
      <c r="A8" s="142" t="s">
        <v>147</v>
      </c>
      <c r="B8" s="142"/>
      <c r="C8" s="149"/>
      <c r="D8" s="149"/>
      <c r="E8" s="149"/>
    </row>
    <row r="9" spans="1:6" ht="35.25" customHeight="1" x14ac:dyDescent="0.25">
      <c r="A9" s="150" t="s">
        <v>148</v>
      </c>
      <c r="B9" s="151"/>
      <c r="C9" s="151"/>
      <c r="D9" s="151"/>
      <c r="E9" s="151"/>
    </row>
    <row r="10" spans="1:6" ht="27" customHeight="1" x14ac:dyDescent="0.25">
      <c r="A10" s="24" t="s">
        <v>117</v>
      </c>
      <c r="B10" s="24" t="s">
        <v>62</v>
      </c>
      <c r="C10" s="24" t="s">
        <v>149</v>
      </c>
      <c r="D10" s="24" t="s">
        <v>150</v>
      </c>
      <c r="E10" s="24" t="s">
        <v>121</v>
      </c>
      <c r="F10" s="20"/>
    </row>
    <row r="11" spans="1:6" s="2" customFormat="1" ht="12.5" hidden="1" x14ac:dyDescent="0.25">
      <c r="A11" s="100"/>
      <c r="B11" s="97"/>
      <c r="C11" s="101"/>
      <c r="D11" s="101"/>
      <c r="E11" s="102"/>
    </row>
    <row r="12" spans="1:6" s="2" customFormat="1" ht="12.5" x14ac:dyDescent="0.25">
      <c r="A12" s="120">
        <v>44772</v>
      </c>
      <c r="B12" s="121">
        <v>185</v>
      </c>
      <c r="C12" s="125" t="s">
        <v>262</v>
      </c>
      <c r="D12" s="125" t="s">
        <v>251</v>
      </c>
      <c r="E12" s="126" t="s">
        <v>172</v>
      </c>
    </row>
    <row r="13" spans="1:6" s="2" customFormat="1" ht="12.5" x14ac:dyDescent="0.25">
      <c r="A13" s="120">
        <v>44804</v>
      </c>
      <c r="B13" s="121">
        <v>185</v>
      </c>
      <c r="C13" s="125" t="s">
        <v>262</v>
      </c>
      <c r="D13" s="125" t="s">
        <v>251</v>
      </c>
      <c r="E13" s="126" t="s">
        <v>172</v>
      </c>
    </row>
    <row r="14" spans="1:6" s="2" customFormat="1" ht="12.5" x14ac:dyDescent="0.25">
      <c r="A14" s="120">
        <v>44834</v>
      </c>
      <c r="B14" s="121">
        <v>185</v>
      </c>
      <c r="C14" s="125" t="s">
        <v>262</v>
      </c>
      <c r="D14" s="125" t="s">
        <v>251</v>
      </c>
      <c r="E14" s="126" t="s">
        <v>172</v>
      </c>
    </row>
    <row r="15" spans="1:6" s="2" customFormat="1" ht="12.5" x14ac:dyDescent="0.25">
      <c r="A15" s="120">
        <v>44865</v>
      </c>
      <c r="B15" s="121">
        <v>185</v>
      </c>
      <c r="C15" s="125" t="s">
        <v>262</v>
      </c>
      <c r="D15" s="125" t="s">
        <v>251</v>
      </c>
      <c r="E15" s="126" t="s">
        <v>172</v>
      </c>
    </row>
    <row r="16" spans="1:6" s="2" customFormat="1" ht="12.5" x14ac:dyDescent="0.25">
      <c r="A16" s="120">
        <v>44895</v>
      </c>
      <c r="B16" s="121">
        <v>185</v>
      </c>
      <c r="C16" s="125" t="s">
        <v>262</v>
      </c>
      <c r="D16" s="125" t="s">
        <v>251</v>
      </c>
      <c r="E16" s="126" t="s">
        <v>172</v>
      </c>
    </row>
    <row r="17" spans="1:5" s="2" customFormat="1" ht="12.5" x14ac:dyDescent="0.25">
      <c r="A17" s="120">
        <v>44926</v>
      </c>
      <c r="B17" s="121">
        <v>185</v>
      </c>
      <c r="C17" s="125" t="s">
        <v>262</v>
      </c>
      <c r="D17" s="125" t="s">
        <v>251</v>
      </c>
      <c r="E17" s="126" t="s">
        <v>172</v>
      </c>
    </row>
    <row r="18" spans="1:5" s="2" customFormat="1" ht="12.5" x14ac:dyDescent="0.25">
      <c r="A18" s="120">
        <v>44957</v>
      </c>
      <c r="B18" s="121">
        <v>185</v>
      </c>
      <c r="C18" s="125" t="s">
        <v>262</v>
      </c>
      <c r="D18" s="125" t="s">
        <v>251</v>
      </c>
      <c r="E18" s="126" t="s">
        <v>172</v>
      </c>
    </row>
    <row r="19" spans="1:5" s="2" customFormat="1" ht="12.5" x14ac:dyDescent="0.25">
      <c r="A19" s="124">
        <v>44973</v>
      </c>
      <c r="B19" s="121">
        <f>48.83+48.83</f>
        <v>97.66</v>
      </c>
      <c r="C19" s="125" t="s">
        <v>254</v>
      </c>
      <c r="D19" s="125" t="s">
        <v>223</v>
      </c>
      <c r="E19" s="126" t="s">
        <v>174</v>
      </c>
    </row>
    <row r="20" spans="1:5" s="2" customFormat="1" ht="12.5" x14ac:dyDescent="0.25">
      <c r="A20" s="120">
        <v>44985</v>
      </c>
      <c r="B20" s="121">
        <v>185</v>
      </c>
      <c r="C20" s="125" t="s">
        <v>262</v>
      </c>
      <c r="D20" s="125" t="s">
        <v>251</v>
      </c>
      <c r="E20" s="126" t="s">
        <v>172</v>
      </c>
    </row>
    <row r="21" spans="1:5" s="2" customFormat="1" ht="12.5" x14ac:dyDescent="0.25">
      <c r="A21" s="120">
        <v>45016</v>
      </c>
      <c r="B21" s="121">
        <v>185</v>
      </c>
      <c r="C21" s="125" t="s">
        <v>262</v>
      </c>
      <c r="D21" s="125" t="s">
        <v>251</v>
      </c>
      <c r="E21" s="126" t="s">
        <v>172</v>
      </c>
    </row>
    <row r="22" spans="1:5" s="2" customFormat="1" ht="12.5" x14ac:dyDescent="0.25">
      <c r="A22" s="120">
        <v>45046</v>
      </c>
      <c r="B22" s="121">
        <v>185</v>
      </c>
      <c r="C22" s="125" t="s">
        <v>262</v>
      </c>
      <c r="D22" s="125" t="s">
        <v>251</v>
      </c>
      <c r="E22" s="126" t="s">
        <v>172</v>
      </c>
    </row>
    <row r="23" spans="1:5" s="2" customFormat="1" ht="12.5" x14ac:dyDescent="0.25">
      <c r="A23" s="124">
        <v>45077</v>
      </c>
      <c r="B23" s="121">
        <v>185</v>
      </c>
      <c r="C23" s="125" t="s">
        <v>262</v>
      </c>
      <c r="D23" s="125" t="s">
        <v>251</v>
      </c>
      <c r="E23" s="126" t="s">
        <v>172</v>
      </c>
    </row>
    <row r="24" spans="1:5" s="2" customFormat="1" ht="12.5" x14ac:dyDescent="0.25">
      <c r="A24" s="124">
        <v>45076</v>
      </c>
      <c r="B24" s="121">
        <v>185</v>
      </c>
      <c r="C24" s="125" t="s">
        <v>262</v>
      </c>
      <c r="D24" s="125" t="s">
        <v>251</v>
      </c>
      <c r="E24" s="126" t="s">
        <v>172</v>
      </c>
    </row>
    <row r="25" spans="1:5" s="2" customFormat="1" ht="12.5" x14ac:dyDescent="0.25">
      <c r="A25" s="124"/>
      <c r="B25" s="121"/>
      <c r="C25" s="125"/>
      <c r="D25" s="125"/>
      <c r="E25" s="126"/>
    </row>
    <row r="26" spans="1:5" s="2" customFormat="1" ht="12.5" x14ac:dyDescent="0.25">
      <c r="A26" s="124"/>
      <c r="B26" s="121"/>
      <c r="C26" s="125"/>
      <c r="D26" s="125"/>
      <c r="E26" s="126"/>
    </row>
    <row r="27" spans="1:5" s="2" customFormat="1" ht="12.5" x14ac:dyDescent="0.25">
      <c r="A27" s="124"/>
      <c r="B27" s="121"/>
      <c r="C27" s="125"/>
      <c r="D27" s="125"/>
      <c r="E27" s="126"/>
    </row>
    <row r="28" spans="1:5" s="2" customFormat="1" ht="12.5" x14ac:dyDescent="0.25">
      <c r="A28" s="124"/>
      <c r="B28" s="121"/>
      <c r="C28" s="125"/>
      <c r="D28" s="125"/>
      <c r="E28" s="126"/>
    </row>
    <row r="29" spans="1:5" s="2" customFormat="1" ht="12.5" x14ac:dyDescent="0.25">
      <c r="A29" s="124"/>
      <c r="B29" s="121"/>
      <c r="C29" s="125"/>
      <c r="D29" s="125"/>
      <c r="E29" s="126"/>
    </row>
    <row r="30" spans="1:5" s="2" customFormat="1" ht="12.5" x14ac:dyDescent="0.25">
      <c r="A30" s="124"/>
      <c r="B30" s="121"/>
      <c r="C30" s="125"/>
      <c r="D30" s="125"/>
      <c r="E30" s="126"/>
    </row>
    <row r="31" spans="1:5" s="2" customFormat="1" ht="12.5" x14ac:dyDescent="0.25">
      <c r="A31" s="124"/>
      <c r="B31" s="121"/>
      <c r="C31" s="125"/>
      <c r="D31" s="125"/>
      <c r="E31" s="126"/>
    </row>
    <row r="32" spans="1:5" s="2" customFormat="1" ht="12.5" x14ac:dyDescent="0.25">
      <c r="A32" s="124"/>
      <c r="B32" s="121"/>
      <c r="C32" s="125"/>
      <c r="D32" s="125"/>
      <c r="E32" s="126"/>
    </row>
    <row r="33" spans="1:6" s="2" customFormat="1" ht="12.5" hidden="1" x14ac:dyDescent="0.25">
      <c r="A33" s="100"/>
      <c r="B33" s="97"/>
      <c r="C33" s="101"/>
      <c r="D33" s="101"/>
      <c r="E33" s="102"/>
    </row>
    <row r="34" spans="1:6" ht="34.5" customHeight="1" x14ac:dyDescent="0.25">
      <c r="A34" s="54" t="s">
        <v>151</v>
      </c>
      <c r="B34" s="63">
        <f>SUM(B11:B33)</f>
        <v>2317.66</v>
      </c>
      <c r="C34" s="71" t="str">
        <f>IF(SUBTOTAL(3,B11:B33)=SUBTOTAL(103,B11:B33),'Summary and sign-off Kaihautu'!$A$48,'Summary and sign-off Kaihautu'!$A$49)</f>
        <v>Check - there are no hidden rows with data</v>
      </c>
      <c r="D34" s="139" t="str">
        <f>IF('Summary and sign-off Kaihautu'!F59='Summary and sign-off Kaihautu'!F54,'Summary and sign-off Kaihautu'!A51,'Summary and sign-off Kaihautu'!A50)</f>
        <v>Check - each entry provides sufficient information</v>
      </c>
      <c r="E34" s="139"/>
    </row>
    <row r="35" spans="1:6" ht="14.15" customHeight="1" x14ac:dyDescent="0.25">
      <c r="B35" s="17"/>
      <c r="C35" s="17"/>
      <c r="D35" s="17"/>
      <c r="E35" s="17"/>
    </row>
    <row r="36" spans="1:6" ht="13" x14ac:dyDescent="0.3">
      <c r="A36" s="18" t="s">
        <v>152</v>
      </c>
      <c r="B36" s="17"/>
      <c r="C36" s="17"/>
      <c r="D36" s="17"/>
      <c r="E36" s="17"/>
    </row>
    <row r="37" spans="1:6" ht="12.65" customHeight="1" x14ac:dyDescent="0.25">
      <c r="A37" s="20" t="s">
        <v>131</v>
      </c>
      <c r="B37" s="17"/>
      <c r="C37" s="17"/>
      <c r="D37" s="17"/>
      <c r="E37" s="17"/>
    </row>
    <row r="38" spans="1:6" ht="13" x14ac:dyDescent="0.3">
      <c r="A38" s="20" t="s">
        <v>79</v>
      </c>
      <c r="B38" s="19"/>
      <c r="C38" s="17"/>
      <c r="D38" s="17"/>
      <c r="E38" s="17"/>
      <c r="F38" s="17"/>
    </row>
    <row r="39" spans="1:6" ht="12.5" x14ac:dyDescent="0.25">
      <c r="A39" s="20" t="s">
        <v>145</v>
      </c>
      <c r="C39" s="17"/>
      <c r="D39" s="17"/>
      <c r="E39" s="17"/>
      <c r="F39" s="17"/>
    </row>
    <row r="40" spans="1:6" ht="12.75" customHeight="1" x14ac:dyDescent="0.25">
      <c r="A40" s="20" t="s">
        <v>146</v>
      </c>
      <c r="B40" s="25"/>
      <c r="C40" s="22"/>
      <c r="D40" s="22"/>
      <c r="E40" s="22"/>
      <c r="F40" s="22"/>
    </row>
    <row r="41" spans="1:6" ht="12.5" x14ac:dyDescent="0.25">
      <c r="B41" s="26"/>
      <c r="C41" s="17"/>
      <c r="D41" s="17"/>
      <c r="E41" s="17"/>
    </row>
    <row r="42" spans="1:6" ht="12.5" hidden="1" x14ac:dyDescent="0.25">
      <c r="A42" s="17"/>
      <c r="B42" s="17"/>
      <c r="C42" s="17"/>
      <c r="D42" s="17"/>
    </row>
    <row r="44" spans="1:6" ht="12.5" hidden="1" x14ac:dyDescent="0.25">
      <c r="A44" s="17"/>
      <c r="B44" s="17"/>
      <c r="C44" s="17"/>
      <c r="D44" s="17"/>
      <c r="E44" s="17"/>
    </row>
    <row r="45" spans="1:6" ht="12.5" hidden="1" x14ac:dyDescent="0.25">
      <c r="A45" s="17"/>
      <c r="B45" s="17"/>
      <c r="C45" s="17"/>
      <c r="D45" s="17"/>
      <c r="E45" s="17"/>
    </row>
    <row r="46" spans="1:6" ht="12.5" hidden="1" x14ac:dyDescent="0.25">
      <c r="A46" s="17"/>
      <c r="B46" s="17"/>
      <c r="C46" s="17"/>
      <c r="D46" s="17"/>
      <c r="E46" s="17"/>
    </row>
    <row r="47" spans="1:6" ht="12.5" hidden="1" x14ac:dyDescent="0.25">
      <c r="A47" s="17"/>
      <c r="B47" s="17"/>
      <c r="C47" s="17"/>
      <c r="D47" s="17"/>
      <c r="E47" s="17"/>
    </row>
    <row r="48" spans="1:6" ht="12.5" hidden="1" x14ac:dyDescent="0.25">
      <c r="A48" s="17"/>
      <c r="B48" s="17"/>
      <c r="C48" s="17"/>
      <c r="D48" s="17"/>
      <c r="E48" s="17"/>
    </row>
    <row r="49" ht="12.5" hidden="1" x14ac:dyDescent="0.25"/>
    <row r="50" ht="12.5" hidden="1" x14ac:dyDescent="0.25"/>
    <row r="51" ht="12.5" hidden="1" x14ac:dyDescent="0.25"/>
    <row r="52" ht="12.5" hidden="1" x14ac:dyDescent="0.25"/>
    <row r="53" ht="12.5" hidden="1" x14ac:dyDescent="0.25"/>
    <row r="54" ht="12.5" hidden="1" x14ac:dyDescent="0.25"/>
    <row r="55" ht="12.5" hidden="1" x14ac:dyDescent="0.25"/>
    <row r="56" ht="12.5" hidden="1" x14ac:dyDescent="0.25"/>
    <row r="57" ht="12.5" hidden="1" x14ac:dyDescent="0.25"/>
    <row r="58" ht="12.5" hidden="1" x14ac:dyDescent="0.25"/>
    <row r="59" ht="12.5" hidden="1" x14ac:dyDescent="0.25"/>
  </sheetData>
  <sheetProtection sheet="1" formatCells="0" insertRows="0" deleteRows="0"/>
  <mergeCells count="10">
    <mergeCell ref="B7:E7"/>
    <mergeCell ref="A8:E8"/>
    <mergeCell ref="A9:E9"/>
    <mergeCell ref="D34:E34"/>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2" xr:uid="{00000000-0002-0000-09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9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3" xr:uid="{00000000-0002-0000-09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900-000003000000}">
          <x14:formula1>
            <xm:f>'Summary and sign-off Kaihautu'!$A$47</xm:f>
          </x14:formula1>
          <xm:sqref>B11:B33</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9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900-000005000000}">
          <x14:formula1>
            <xm:f>'Summary and sign-off Kaihautu'!$A$27:$A$28</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J74"/>
  <sheetViews>
    <sheetView workbookViewId="0">
      <selection sqref="A1:F1"/>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5" t="s">
        <v>153</v>
      </c>
      <c r="B1" s="135"/>
      <c r="C1" s="135"/>
      <c r="D1" s="135"/>
      <c r="E1" s="135"/>
      <c r="F1" s="135"/>
    </row>
    <row r="2" spans="1:6" ht="21" customHeight="1" x14ac:dyDescent="0.25">
      <c r="A2" s="3" t="s">
        <v>52</v>
      </c>
      <c r="B2" s="138" t="str">
        <f>'Summary and sign-off Kaihautu'!B2:F2</f>
        <v>Museum of New Zealand Te Papa Tongarewa</v>
      </c>
      <c r="C2" s="138"/>
      <c r="D2" s="138"/>
      <c r="E2" s="138"/>
      <c r="F2" s="138"/>
    </row>
    <row r="3" spans="1:6" ht="21" customHeight="1" x14ac:dyDescent="0.25">
      <c r="A3" s="3" t="s">
        <v>110</v>
      </c>
      <c r="B3" s="138" t="str">
        <f>'Summary and sign-off Kaihautu'!B3:F3</f>
        <v>Arapata Hakiwai</v>
      </c>
      <c r="C3" s="138"/>
      <c r="D3" s="138"/>
      <c r="E3" s="138"/>
      <c r="F3" s="138"/>
    </row>
    <row r="4" spans="1:6" ht="21" customHeight="1" x14ac:dyDescent="0.25">
      <c r="A4" s="3" t="s">
        <v>111</v>
      </c>
      <c r="B4" s="138">
        <f>'Summary and sign-off Kaihautu'!B4:F4</f>
        <v>44743</v>
      </c>
      <c r="C4" s="138"/>
      <c r="D4" s="138"/>
      <c r="E4" s="138"/>
      <c r="F4" s="138"/>
    </row>
    <row r="5" spans="1:6" ht="21" customHeight="1" x14ac:dyDescent="0.25">
      <c r="A5" s="3" t="s">
        <v>112</v>
      </c>
      <c r="B5" s="138">
        <f>'Summary and sign-off Kaihautu'!B5:F5</f>
        <v>45107</v>
      </c>
      <c r="C5" s="138"/>
      <c r="D5" s="138"/>
      <c r="E5" s="138"/>
      <c r="F5" s="138"/>
    </row>
    <row r="6" spans="1:6" ht="21" customHeight="1" x14ac:dyDescent="0.25">
      <c r="A6" s="3" t="s">
        <v>154</v>
      </c>
      <c r="B6" s="133" t="s">
        <v>80</v>
      </c>
      <c r="C6" s="133"/>
      <c r="D6" s="133"/>
      <c r="E6" s="133"/>
      <c r="F6" s="133"/>
    </row>
    <row r="7" spans="1:6" ht="21" customHeight="1" x14ac:dyDescent="0.25">
      <c r="A7" s="3" t="s">
        <v>56</v>
      </c>
      <c r="B7" s="133" t="s">
        <v>83</v>
      </c>
      <c r="C7" s="133"/>
      <c r="D7" s="133"/>
      <c r="E7" s="133"/>
      <c r="F7" s="133"/>
    </row>
    <row r="8" spans="1:6" ht="36" customHeight="1" x14ac:dyDescent="0.25">
      <c r="A8" s="142" t="s">
        <v>155</v>
      </c>
      <c r="B8" s="142"/>
      <c r="C8" s="142"/>
      <c r="D8" s="142"/>
      <c r="E8" s="142"/>
      <c r="F8" s="142"/>
    </row>
    <row r="9" spans="1:6" ht="36" customHeight="1" x14ac:dyDescent="0.25">
      <c r="A9" s="150" t="s">
        <v>156</v>
      </c>
      <c r="B9" s="151"/>
      <c r="C9" s="151"/>
      <c r="D9" s="151"/>
      <c r="E9" s="151"/>
      <c r="F9" s="151"/>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2" customFormat="1" ht="25" x14ac:dyDescent="0.25">
      <c r="A12" s="120">
        <v>44837</v>
      </c>
      <c r="B12" s="127" t="s">
        <v>237</v>
      </c>
      <c r="C12" s="128" t="s">
        <v>96</v>
      </c>
      <c r="D12" s="127" t="s">
        <v>238</v>
      </c>
      <c r="E12" s="129" t="s">
        <v>239</v>
      </c>
      <c r="F12" s="130"/>
    </row>
    <row r="13" spans="1:6" s="2" customFormat="1" x14ac:dyDescent="0.25">
      <c r="A13" s="120">
        <v>44909</v>
      </c>
      <c r="B13" s="127" t="s">
        <v>240</v>
      </c>
      <c r="C13" s="128" t="s">
        <v>96</v>
      </c>
      <c r="D13" s="127" t="s">
        <v>183</v>
      </c>
      <c r="E13" s="129">
        <v>100</v>
      </c>
      <c r="F13" s="130"/>
    </row>
    <row r="14" spans="1:6" s="2" customFormat="1" ht="25" x14ac:dyDescent="0.25">
      <c r="A14" s="120">
        <v>45012</v>
      </c>
      <c r="B14" s="127" t="s">
        <v>245</v>
      </c>
      <c r="C14" s="128" t="s">
        <v>96</v>
      </c>
      <c r="D14" s="127" t="s">
        <v>246</v>
      </c>
      <c r="E14" s="129">
        <v>200</v>
      </c>
      <c r="F14" s="130"/>
    </row>
    <row r="15" spans="1:6" s="2" customFormat="1" x14ac:dyDescent="0.25">
      <c r="A15" s="120">
        <v>45061</v>
      </c>
      <c r="B15" s="127" t="s">
        <v>248</v>
      </c>
      <c r="C15" s="128" t="s">
        <v>96</v>
      </c>
      <c r="D15" s="127" t="s">
        <v>250</v>
      </c>
      <c r="E15" s="129">
        <v>150</v>
      </c>
      <c r="F15" s="130"/>
    </row>
    <row r="16" spans="1:6" s="2" customFormat="1" ht="25" x14ac:dyDescent="0.25">
      <c r="A16" s="120">
        <v>45032</v>
      </c>
      <c r="B16" s="127" t="s">
        <v>247</v>
      </c>
      <c r="C16" s="128" t="s">
        <v>96</v>
      </c>
      <c r="D16" s="127" t="s">
        <v>249</v>
      </c>
      <c r="E16" s="129">
        <v>150</v>
      </c>
      <c r="F16" s="130"/>
    </row>
    <row r="17" spans="1:7" s="2" customFormat="1" x14ac:dyDescent="0.25">
      <c r="A17" s="120"/>
      <c r="B17" s="127"/>
      <c r="C17" s="128"/>
      <c r="D17" s="127"/>
      <c r="E17" s="129"/>
      <c r="F17" s="130"/>
    </row>
    <row r="18" spans="1:7" s="2" customFormat="1" x14ac:dyDescent="0.25">
      <c r="A18" s="120"/>
      <c r="B18" s="127"/>
      <c r="C18" s="128"/>
      <c r="D18" s="127"/>
      <c r="E18" s="129"/>
      <c r="F18" s="130"/>
    </row>
    <row r="19" spans="1:7" s="2" customFormat="1" hidden="1" x14ac:dyDescent="0.25">
      <c r="A19" s="96"/>
      <c r="B19" s="101"/>
      <c r="C19" s="103"/>
      <c r="D19" s="101"/>
      <c r="E19" s="104"/>
      <c r="F19" s="102"/>
    </row>
    <row r="20" spans="1:7" ht="34.5" customHeight="1" x14ac:dyDescent="0.25">
      <c r="A20" s="115" t="s">
        <v>162</v>
      </c>
      <c r="B20" s="116" t="s">
        <v>163</v>
      </c>
      <c r="C20" s="117">
        <f>C21+C22</f>
        <v>5</v>
      </c>
      <c r="D20" s="118" t="str">
        <f>IF(SUBTOTAL(3,C11:C19)=SUBTOTAL(103,C11:C19),'Summary and sign-off Kaihautu'!$A$48,'Summary and sign-off Kaihautu'!$A$49)</f>
        <v>Check - there are no hidden rows with data</v>
      </c>
      <c r="E20" s="139" t="str">
        <f>IF('Summary and sign-off Kaihautu'!F60='Summary and sign-off Kaihautu'!F54,'Summary and sign-off Kaihautu'!A52,'Summary and sign-off Kaihautu'!A50)</f>
        <v>Check - each entry provides sufficient information</v>
      </c>
      <c r="F20" s="139"/>
      <c r="G20" s="2"/>
    </row>
    <row r="21" spans="1:7" ht="25.5" customHeight="1" x14ac:dyDescent="0.35">
      <c r="A21" s="55"/>
      <c r="B21" s="56" t="s">
        <v>96</v>
      </c>
      <c r="C21" s="57">
        <f>COUNTIF(C11:C19,'Summary and sign-off Kaihautu'!A45)</f>
        <v>5</v>
      </c>
      <c r="D21" s="14"/>
      <c r="E21" s="15"/>
      <c r="F21" s="16"/>
    </row>
    <row r="22" spans="1:7" ht="25.5" customHeight="1" x14ac:dyDescent="0.35">
      <c r="A22" s="55"/>
      <c r="B22" s="56" t="s">
        <v>97</v>
      </c>
      <c r="C22" s="57">
        <f>COUNTIF(C11:C19,'Summary and sign-off Kaihautu'!A46)</f>
        <v>0</v>
      </c>
      <c r="D22" s="14"/>
      <c r="E22" s="15"/>
      <c r="F22" s="16"/>
    </row>
    <row r="23" spans="1:7" ht="13" x14ac:dyDescent="0.3">
      <c r="A23" s="17"/>
      <c r="B23" s="18"/>
      <c r="C23" s="17"/>
      <c r="D23" s="19"/>
      <c r="E23" s="19"/>
      <c r="F23" s="17"/>
    </row>
    <row r="24" spans="1:7" ht="13" x14ac:dyDescent="0.3">
      <c r="A24" s="18" t="s">
        <v>152</v>
      </c>
      <c r="B24" s="18"/>
      <c r="C24" s="18"/>
      <c r="D24" s="18"/>
      <c r="E24" s="18"/>
      <c r="F24" s="18"/>
    </row>
    <row r="25" spans="1:7" ht="12.65" customHeight="1" x14ac:dyDescent="0.25">
      <c r="A25" s="20" t="s">
        <v>131</v>
      </c>
      <c r="B25" s="17"/>
      <c r="C25" s="17"/>
      <c r="D25" s="17"/>
      <c r="E25" s="17"/>
    </row>
    <row r="26" spans="1:7" ht="13" x14ac:dyDescent="0.3">
      <c r="A26" s="20" t="s">
        <v>79</v>
      </c>
      <c r="B26" s="19"/>
      <c r="C26" s="17"/>
      <c r="D26" s="17"/>
      <c r="E26" s="17"/>
      <c r="F26" s="17"/>
    </row>
    <row r="27" spans="1:7" ht="13" x14ac:dyDescent="0.3">
      <c r="A27" s="20" t="s">
        <v>164</v>
      </c>
      <c r="B27" s="21"/>
      <c r="C27" s="21"/>
      <c r="D27" s="21"/>
      <c r="E27" s="21"/>
      <c r="F27" s="21"/>
    </row>
    <row r="28" spans="1:7" ht="12.75" customHeight="1" x14ac:dyDescent="0.25">
      <c r="A28" s="20" t="s">
        <v>165</v>
      </c>
      <c r="B28" s="17"/>
      <c r="C28" s="17"/>
      <c r="D28" s="17"/>
      <c r="E28" s="17"/>
      <c r="F28" s="17"/>
    </row>
    <row r="29" spans="1:7" ht="13" customHeight="1" x14ac:dyDescent="0.25">
      <c r="A29" s="20" t="s">
        <v>166</v>
      </c>
      <c r="B29" s="17"/>
      <c r="C29" s="17"/>
      <c r="D29" s="17"/>
      <c r="E29" s="17"/>
      <c r="F29" s="17"/>
    </row>
    <row r="30" spans="1:7" x14ac:dyDescent="0.25">
      <c r="A30" s="20" t="s">
        <v>167</v>
      </c>
      <c r="C30" s="17"/>
      <c r="D30" s="17"/>
      <c r="E30" s="17"/>
      <c r="F30" s="17"/>
    </row>
    <row r="31" spans="1:7" ht="12.75" customHeight="1" x14ac:dyDescent="0.25">
      <c r="A31" s="20" t="s">
        <v>146</v>
      </c>
      <c r="B31" s="20"/>
      <c r="C31" s="22"/>
      <c r="D31" s="22"/>
      <c r="E31" s="22"/>
      <c r="F31" s="22"/>
    </row>
    <row r="32" spans="1:7" ht="12.75" customHeight="1" x14ac:dyDescent="0.25">
      <c r="A32" s="20"/>
      <c r="B32" s="20"/>
      <c r="C32" s="22"/>
      <c r="D32" s="22"/>
      <c r="E32" s="22"/>
      <c r="F32" s="22"/>
    </row>
    <row r="33" spans="1:6" ht="12.75" hidden="1" customHeight="1" x14ac:dyDescent="0.25">
      <c r="A33" s="20"/>
      <c r="B33" s="20"/>
      <c r="C33" s="22"/>
      <c r="D33" s="22"/>
      <c r="E33" s="22"/>
      <c r="F33" s="22"/>
    </row>
    <row r="36" spans="1:6" ht="13" hidden="1" x14ac:dyDescent="0.3">
      <c r="A36" s="18"/>
      <c r="B36" s="18"/>
      <c r="C36" s="18"/>
      <c r="D36" s="18"/>
      <c r="E36" s="18"/>
      <c r="F36" s="18"/>
    </row>
    <row r="37" spans="1:6" ht="13" hidden="1" x14ac:dyDescent="0.3">
      <c r="A37" s="18"/>
      <c r="B37" s="18"/>
      <c r="C37" s="18"/>
      <c r="D37" s="18"/>
      <c r="E37" s="18"/>
      <c r="F37" s="18"/>
    </row>
    <row r="38" spans="1:6" ht="13" hidden="1" x14ac:dyDescent="0.3">
      <c r="A38" s="18"/>
      <c r="B38" s="18"/>
      <c r="C38" s="18"/>
      <c r="D38" s="18"/>
      <c r="E38" s="18"/>
      <c r="F38" s="18"/>
    </row>
    <row r="39" spans="1:6" ht="13" hidden="1" x14ac:dyDescent="0.3">
      <c r="A39" s="18"/>
      <c r="B39" s="18"/>
      <c r="C39" s="18"/>
      <c r="D39" s="18"/>
      <c r="E39" s="18"/>
      <c r="F39" s="18"/>
    </row>
    <row r="40" spans="1:6" ht="13" hidden="1" x14ac:dyDescent="0.3">
      <c r="A40" s="18"/>
      <c r="B40" s="18"/>
      <c r="C40" s="18"/>
      <c r="D40" s="18"/>
      <c r="E40" s="18"/>
      <c r="F40" s="18"/>
    </row>
    <row r="49" x14ac:dyDescent="0.25"/>
    <row r="50" x14ac:dyDescent="0.25"/>
    <row r="51" x14ac:dyDescent="0.25"/>
    <row r="52"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sheetProtection sheet="1" formatCells="0" insertRows="0" deleteRows="0"/>
  <dataConsolidate/>
  <mergeCells count="10">
    <mergeCell ref="B7:F7"/>
    <mergeCell ref="A8:F8"/>
    <mergeCell ref="A9:F9"/>
    <mergeCell ref="E20:F20"/>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xr:uid="{00000000-0002-0000-0A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A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8" xr:uid="{00000000-0002-0000-0A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A00-000003000000}">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A00-000004000000}">
          <x14:formula1>
            <xm:f>'Summary and sign-off Kaihautu'!$A$27:$A$28</xm:f>
          </x14:formula1>
          <xm:sqref>B6</xm:sqref>
        </x14:dataValidation>
        <x14:dataValidation type="list" errorStyle="information" operator="greaterThan" allowBlank="1" showInputMessage="1" prompt="Provide specific $ value if possible" xr:uid="{00000000-0002-0000-0A00-000005000000}">
          <x14:formula1>
            <xm:f>'Summary and sign-off Kaihautu'!$A$39:$A$44</xm:f>
          </x14:formula1>
          <xm:sqref>E11:E19</xm:sqref>
        </x14:dataValidation>
        <x14:dataValidation type="list" allowBlank="1" showInputMessage="1" showErrorMessage="1" error="Use the drop down list (at the right of the cell)" xr:uid="{00000000-0002-0000-0A00-000006000000}">
          <x14:formula1>
            <xm:f>'Summary and sign-off Kaihautu'!$A$45:$A$46</xm:f>
          </x14:formula1>
          <xm:sqref>C11:C19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2023-07-19T19:17:49Z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